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FEAB29F0" ContentType="image/pn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drawings/drawing3.xml" ContentType="application/vnd.openxmlformats-officedocument.drawingml.chartshapes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drawings/drawing5.xml" ContentType="application/vnd.openxmlformats-officedocument.drawingml.chartshapes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1.xml" ContentType="application/vnd.openxmlformats-officedocument.drawingml.chart+xml"/>
  <Override PartName="/xl/drawings/drawing6.xml" ContentType="application/vnd.openxmlformats-officedocument.drawingml.chartshapes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4.xml" ContentType="application/vnd.openxmlformats-officedocument.drawingml.chart+xml"/>
  <Override PartName="/xl/drawings/drawing8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drawings/drawing9.xml" ContentType="application/vnd.openxmlformats-officedocument.drawingml.chartshapes+xml"/>
  <Override PartName="/xl/charts/chart1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2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2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drawings/drawing17.xml" ContentType="application/vnd.openxmlformats-officedocument.drawingml.chartshapes+xml"/>
  <Override PartName="/xl/charts/chart26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7.xml" ContentType="application/vnd.openxmlformats-officedocument.drawingml.chart+xml"/>
  <Override PartName="/xl/drawings/drawing20.xml" ContentType="application/vnd.openxmlformats-officedocument.drawingml.chartshapes+xml"/>
  <Override PartName="/xl/charts/chart28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29.xml" ContentType="application/vnd.openxmlformats-officedocument.drawingml.chart+xml"/>
  <Override PartName="/xl/drawings/drawing23.xml" ContentType="application/vnd.openxmlformats-officedocument.drawingml.chartshapes+xml"/>
  <Override PartName="/xl/charts/chart30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31.xml" ContentType="application/vnd.openxmlformats-officedocument.drawingml.chart+xml"/>
  <Override PartName="/xl/drawings/drawing26.xml" ContentType="application/vnd.openxmlformats-officedocument.drawing+xml"/>
  <Override PartName="/xl/charts/chart32.xml" ContentType="application/vnd.openxmlformats-officedocument.drawingml.chart+xml"/>
  <Override PartName="/xl/drawings/drawing27.xml" ContentType="application/vnd.openxmlformats-officedocument.drawing+xml"/>
  <Override PartName="/xl/charts/chart33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CZFabory\n_office\Asquare\Ave\workshop\BeEco\"/>
    </mc:Choice>
  </mc:AlternateContent>
  <xr:revisionPtr revIDLastSave="0" documentId="13_ncr:1_{E4A26DDA-F67A-4AF3-9FF2-AD69A8848C82}" xr6:coauthVersionLast="47" xr6:coauthVersionMax="47" xr10:uidLastSave="{00000000-0000-0000-0000-000000000000}"/>
  <bookViews>
    <workbookView xWindow="-108" yWindow="-108" windowWidth="23256" windowHeight="12576" tabRatio="901" xr2:uid="{00000000-000D-0000-FFFF-FFFF00000000}"/>
  </bookViews>
  <sheets>
    <sheet name="NAVOD" sheetId="50" r:id="rId1"/>
    <sheet name="CHART" sheetId="27" r:id="rId2"/>
    <sheet name="GRAPHS21" sheetId="28" r:id="rId3"/>
    <sheet name="GRAPHS 22" sheetId="62" r:id="rId4"/>
    <sheet name="GRAPHS 23" sheetId="63" r:id="rId5"/>
    <sheet name="Auta21" sheetId="41" r:id="rId6"/>
    <sheet name="Auta22" sheetId="52" r:id="rId7"/>
    <sheet name="Auta23" sheetId="53" r:id="rId8"/>
    <sheet name="EnergiePlyn21" sheetId="42" r:id="rId9"/>
    <sheet name="EnergiePlyn22" sheetId="54" r:id="rId10"/>
    <sheet name="EnergiePlyn23" sheetId="55" r:id="rId11"/>
    <sheet name="Obaly21" sheetId="45" r:id="rId12"/>
    <sheet name="Obaly22" sheetId="56" r:id="rId13"/>
    <sheet name="Obaly23" sheetId="57" r:id="rId14"/>
    <sheet name="Odpady21" sheetId="49" r:id="rId15"/>
    <sheet name="Odpady22" sheetId="58" r:id="rId16"/>
    <sheet name="Odpady23" sheetId="59" r:id="rId17"/>
    <sheet name="Zeme22" sheetId="60" r:id="rId18"/>
    <sheet name="Zeme23" sheetId="61" r:id="rId19"/>
    <sheet name="Zeme21" sheetId="46" r:id="rId20"/>
    <sheet name="Doprava" sheetId="26" r:id="rId21"/>
    <sheet name="KOEFICIENTY" sheetId="29" r:id="rId22"/>
    <sheet name="Scope" sheetId="51" r:id="rId23"/>
  </sheets>
  <definedNames>
    <definedName name="_xlnm._FilterDatabase" localSheetId="11" hidden="1">Obaly21!$B$1:$B$43</definedName>
    <definedName name="_xlnm._FilterDatabase" localSheetId="12" hidden="1">Obaly22!$B$1:$B$43</definedName>
    <definedName name="_xlnm._FilterDatabase" localSheetId="13" hidden="1">Obaly23!$B$1:$B$43</definedName>
    <definedName name="MyPic" localSheetId="14">CHOOSE(Odpady21!MyPicSelect,Odpady21!MyPic1,Odpady21!MyPic2,Odpady21!MyPic3,Odpady21!MyPic4)</definedName>
    <definedName name="MyPic" localSheetId="15">CHOOSE(Odpady22!MyPicSelect,Odpady22!MyPic1,Odpady22!MyPic2,Odpady22!MyPic3,Odpady22!MyPic4)</definedName>
    <definedName name="MyPic" localSheetId="16">CHOOSE(Odpady23!MyPicSelect,Odpady23!MyPic1,Odpady23!MyPic2,Odpady23!MyPic3,Odpady23!MyPic4)</definedName>
    <definedName name="MyPic">CHOOSE(MyPicSelect,MyPic1,MyPic2,MyPic3,MyPic4)</definedName>
    <definedName name="MyPic1" localSheetId="14">#REF!</definedName>
    <definedName name="MyPic1" localSheetId="15">#REF!</definedName>
    <definedName name="MyPic1" localSheetId="16">#REF!</definedName>
    <definedName name="MyPic1">#REF!</definedName>
    <definedName name="MyPic2" localSheetId="14">#REF!</definedName>
    <definedName name="MyPic2" localSheetId="15">#REF!</definedName>
    <definedName name="MyPic2" localSheetId="16">#REF!</definedName>
    <definedName name="MyPic2">#REF!</definedName>
    <definedName name="MyPic3" localSheetId="14">#REF!</definedName>
    <definedName name="MyPic3" localSheetId="15">#REF!</definedName>
    <definedName name="MyPic3" localSheetId="16">#REF!</definedName>
    <definedName name="MyPic3">#REF!</definedName>
    <definedName name="MyPic4" localSheetId="14">#REF!</definedName>
    <definedName name="MyPic4" localSheetId="15">#REF!</definedName>
    <definedName name="MyPic4" localSheetId="16">#REF!</definedName>
    <definedName name="MyPic4">#REF!</definedName>
    <definedName name="MyPicSelect" localSheetId="14">#REF!</definedName>
    <definedName name="MyPicSelect" localSheetId="15">#REF!</definedName>
    <definedName name="MyPicSelect" localSheetId="16">#REF!</definedName>
    <definedName name="MyPicSelect">#REF!</definedName>
    <definedName name="_xlnm.Print_Titles" localSheetId="14">Odpady21!#REF!,Odpady21!$1:$1</definedName>
    <definedName name="_xlnm.Print_Titles" localSheetId="15">Odpady22!#REF!,Odpady22!$1:$1</definedName>
    <definedName name="_xlnm.Print_Titles" localSheetId="16">Odpady23!#REF!,Odpady23!$1:$1</definedName>
    <definedName name="_xlnm.Print_Titles" localSheetId="19">Zeme21!#REF!,Zeme21!#REF!</definedName>
    <definedName name="_xlnm.Print_Titles" localSheetId="17">Zeme22!#REF!,Zeme22!#REF!</definedName>
    <definedName name="_xlnm.Print_Titles" localSheetId="18">Zeme23!#REF!,Zeme23!#REF!</definedName>
    <definedName name="Receiving" localSheetId="14">#REF!</definedName>
    <definedName name="Receiving" localSheetId="15">#REF!</definedName>
    <definedName name="Receiving" localSheetId="16">#REF!</definedName>
    <definedName name="Receiving">#REF!</definedName>
    <definedName name="SAPBEXdnldView" localSheetId="14" hidden="1">"XLS_00O2TJLOKP128ZECUH2DY6XO8"</definedName>
    <definedName name="SAPBEXdnldView" localSheetId="15" hidden="1">"XLS_00O2TJLOKP128ZECUH2DY6XO8"</definedName>
    <definedName name="SAPBEXdnldView" localSheetId="16" hidden="1">"XLS_00O2TJLOKP128ZECUH2DY6XO8"</definedName>
    <definedName name="SAPBEXdnldView" localSheetId="19" hidden="1">"XLS_00O2TJLOKP128ZECUH2DY6XO8"</definedName>
    <definedName name="SAPBEXdnldView" localSheetId="17" hidden="1">"XLS_00O2TJLOKP128ZECUH2DY6XO8"</definedName>
    <definedName name="SAPBEXdnldView" localSheetId="18" hidden="1">"XLS_00O2TJLOKP128ZECUH2DY6XO8"</definedName>
    <definedName name="SAPBEXdnldView" hidden="1">"4IBNSRGTZYFI00LQFA6RS5CEQ"</definedName>
    <definedName name="SAPBEXsysID" hidden="1">"BWP"</definedName>
    <definedName name="UDmake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L6" i="27" l="1"/>
  <c r="AL5" i="27"/>
  <c r="AL7" i="27"/>
  <c r="B9" i="63" s="1"/>
  <c r="C9" i="63" s="1"/>
  <c r="B9" i="62"/>
  <c r="B8" i="63"/>
  <c r="C8" i="63" s="1"/>
  <c r="B7" i="63"/>
  <c r="C7" i="63" s="1"/>
  <c r="B6" i="63"/>
  <c r="C6" i="63" s="1"/>
  <c r="B5" i="63"/>
  <c r="C5" i="63" s="1"/>
  <c r="B4" i="63"/>
  <c r="C4" i="63" s="1"/>
  <c r="B3" i="63"/>
  <c r="B8" i="62"/>
  <c r="B7" i="62"/>
  <c r="B6" i="62"/>
  <c r="B5" i="62"/>
  <c r="B4" i="62"/>
  <c r="B3" i="62"/>
  <c r="B10" i="63" l="1"/>
  <c r="C10" i="63" s="1"/>
  <c r="C3" i="63"/>
  <c r="C9" i="62"/>
  <c r="C8" i="62"/>
  <c r="C7" i="62"/>
  <c r="C6" i="62"/>
  <c r="C5" i="62"/>
  <c r="C4" i="62"/>
  <c r="C3" i="62"/>
  <c r="AO7" i="27"/>
  <c r="AH7" i="27"/>
  <c r="AD7" i="27"/>
  <c r="Z7" i="27"/>
  <c r="V7" i="27"/>
  <c r="R7" i="27"/>
  <c r="N7" i="27"/>
  <c r="J7" i="27"/>
  <c r="F7" i="27"/>
  <c r="AO6" i="27"/>
  <c r="AH6" i="27"/>
  <c r="AD6" i="27"/>
  <c r="Z6" i="27"/>
  <c r="V6" i="27"/>
  <c r="R6" i="27"/>
  <c r="N6" i="27"/>
  <c r="J6" i="27"/>
  <c r="F6" i="27"/>
  <c r="C22" i="61"/>
  <c r="C19" i="61"/>
  <c r="C18" i="61"/>
  <c r="C17" i="61"/>
  <c r="C10" i="61"/>
  <c r="C3" i="61"/>
  <c r="C21" i="61" s="1"/>
  <c r="C22" i="60"/>
  <c r="C21" i="60"/>
  <c r="C20" i="60"/>
  <c r="C19" i="60"/>
  <c r="C18" i="60"/>
  <c r="C10" i="60"/>
  <c r="C3" i="60"/>
  <c r="C17" i="60" s="1"/>
  <c r="D28" i="59"/>
  <c r="D25" i="59"/>
  <c r="D22" i="59"/>
  <c r="B17" i="59"/>
  <c r="E15" i="59"/>
  <c r="D15" i="59"/>
  <c r="C14" i="59"/>
  <c r="F8" i="59"/>
  <c r="F6" i="59" s="1"/>
  <c r="F7" i="59" s="1"/>
  <c r="C34" i="59" s="1"/>
  <c r="F5" i="59"/>
  <c r="E5" i="59"/>
  <c r="E8" i="59" s="1"/>
  <c r="E6" i="59" s="1"/>
  <c r="E7" i="59" s="1"/>
  <c r="C32" i="59" s="1"/>
  <c r="D5" i="59"/>
  <c r="D8" i="59" s="1"/>
  <c r="D6" i="59" s="1"/>
  <c r="D7" i="59" s="1"/>
  <c r="C33" i="59" s="1"/>
  <c r="D28" i="58"/>
  <c r="D25" i="58"/>
  <c r="D22" i="58"/>
  <c r="B17" i="58"/>
  <c r="E15" i="58"/>
  <c r="D15" i="58"/>
  <c r="C14" i="58"/>
  <c r="F8" i="58"/>
  <c r="F6" i="58" s="1"/>
  <c r="F7" i="58" s="1"/>
  <c r="C34" i="58" s="1"/>
  <c r="E8" i="58"/>
  <c r="E6" i="58" s="1"/>
  <c r="E7" i="58" s="1"/>
  <c r="C32" i="58" s="1"/>
  <c r="D8" i="58"/>
  <c r="D6" i="58" s="1"/>
  <c r="D7" i="58" s="1"/>
  <c r="C33" i="58" s="1"/>
  <c r="F5" i="58"/>
  <c r="E5" i="58"/>
  <c r="D5" i="58"/>
  <c r="V34" i="57"/>
  <c r="U34" i="57"/>
  <c r="T34" i="57"/>
  <c r="S34" i="57"/>
  <c r="R34" i="57"/>
  <c r="Q34" i="57"/>
  <c r="P34" i="57"/>
  <c r="O34" i="57"/>
  <c r="N34" i="57"/>
  <c r="M34" i="57"/>
  <c r="L34" i="57"/>
  <c r="K34" i="57"/>
  <c r="V33" i="57"/>
  <c r="U33" i="57"/>
  <c r="T33" i="57"/>
  <c r="S33" i="57"/>
  <c r="R33" i="57"/>
  <c r="Q33" i="57"/>
  <c r="P33" i="57"/>
  <c r="O33" i="57"/>
  <c r="N33" i="57"/>
  <c r="M33" i="57"/>
  <c r="L33" i="57"/>
  <c r="K33" i="57"/>
  <c r="V32" i="57"/>
  <c r="U32" i="57"/>
  <c r="T32" i="57"/>
  <c r="S32" i="57"/>
  <c r="R32" i="57"/>
  <c r="Q32" i="57"/>
  <c r="P32" i="57"/>
  <c r="O32" i="57"/>
  <c r="N32" i="57"/>
  <c r="M32" i="57"/>
  <c r="L32" i="57"/>
  <c r="K32" i="57"/>
  <c r="V31" i="57"/>
  <c r="U31" i="57"/>
  <c r="T31" i="57"/>
  <c r="S31" i="57"/>
  <c r="R31" i="57"/>
  <c r="Q31" i="57"/>
  <c r="P31" i="57"/>
  <c r="O31" i="57"/>
  <c r="N31" i="57"/>
  <c r="M31" i="57"/>
  <c r="L31" i="57"/>
  <c r="K31" i="57"/>
  <c r="V30" i="57"/>
  <c r="U30" i="57"/>
  <c r="T30" i="57"/>
  <c r="S30" i="57"/>
  <c r="R30" i="57"/>
  <c r="Q30" i="57"/>
  <c r="P30" i="57"/>
  <c r="O30" i="57"/>
  <c r="N30" i="57"/>
  <c r="M30" i="57"/>
  <c r="L30" i="57"/>
  <c r="K30" i="57"/>
  <c r="V29" i="57"/>
  <c r="U29" i="57"/>
  <c r="T29" i="57"/>
  <c r="S29" i="57"/>
  <c r="R29" i="57"/>
  <c r="Q29" i="57"/>
  <c r="P29" i="57"/>
  <c r="O29" i="57"/>
  <c r="N29" i="57"/>
  <c r="M29" i="57"/>
  <c r="M35" i="57" s="1"/>
  <c r="L29" i="57"/>
  <c r="K29" i="57"/>
  <c r="V34" i="56"/>
  <c r="U34" i="56"/>
  <c r="T34" i="56"/>
  <c r="S34" i="56"/>
  <c r="R34" i="56"/>
  <c r="Q34" i="56"/>
  <c r="P34" i="56"/>
  <c r="O34" i="56"/>
  <c r="N34" i="56"/>
  <c r="M34" i="56"/>
  <c r="L34" i="56"/>
  <c r="K34" i="56"/>
  <c r="V33" i="56"/>
  <c r="U33" i="56"/>
  <c r="T33" i="56"/>
  <c r="S33" i="56"/>
  <c r="R33" i="56"/>
  <c r="Q33" i="56"/>
  <c r="Q43" i="56" s="1"/>
  <c r="P33" i="56"/>
  <c r="O33" i="56"/>
  <c r="N33" i="56"/>
  <c r="M33" i="56"/>
  <c r="L33" i="56"/>
  <c r="K33" i="56"/>
  <c r="V32" i="56"/>
  <c r="U32" i="56"/>
  <c r="T32" i="56"/>
  <c r="S32" i="56"/>
  <c r="R32" i="56"/>
  <c r="Q32" i="56"/>
  <c r="Q42" i="56" s="1"/>
  <c r="P32" i="56"/>
  <c r="O32" i="56"/>
  <c r="N32" i="56"/>
  <c r="M32" i="56"/>
  <c r="L32" i="56"/>
  <c r="K32" i="56"/>
  <c r="V31" i="56"/>
  <c r="U31" i="56"/>
  <c r="T31" i="56"/>
  <c r="S31" i="56"/>
  <c r="R31" i="56"/>
  <c r="Q31" i="56"/>
  <c r="Q41" i="56" s="1"/>
  <c r="P31" i="56"/>
  <c r="O31" i="56"/>
  <c r="N31" i="56"/>
  <c r="M31" i="56"/>
  <c r="L31" i="56"/>
  <c r="K31" i="56"/>
  <c r="V30" i="56"/>
  <c r="U30" i="56"/>
  <c r="T30" i="56"/>
  <c r="S30" i="56"/>
  <c r="R30" i="56"/>
  <c r="Q30" i="56"/>
  <c r="Q40" i="56" s="1"/>
  <c r="P30" i="56"/>
  <c r="O30" i="56"/>
  <c r="N30" i="56"/>
  <c r="M30" i="56"/>
  <c r="L30" i="56"/>
  <c r="K30" i="56"/>
  <c r="V29" i="56"/>
  <c r="V35" i="56" s="1"/>
  <c r="U29" i="56"/>
  <c r="U35" i="56" s="1"/>
  <c r="T29" i="56"/>
  <c r="S29" i="56"/>
  <c r="S35" i="56" s="1"/>
  <c r="R29" i="56"/>
  <c r="R35" i="56" s="1"/>
  <c r="Q29" i="56"/>
  <c r="P29" i="56"/>
  <c r="O29" i="56"/>
  <c r="N29" i="56"/>
  <c r="M29" i="56"/>
  <c r="L29" i="56"/>
  <c r="K29" i="56"/>
  <c r="I34" i="55"/>
  <c r="J32" i="55"/>
  <c r="I32" i="55"/>
  <c r="O19" i="55"/>
  <c r="J34" i="55" s="1"/>
  <c r="N19" i="55"/>
  <c r="H19" i="55"/>
  <c r="J33" i="55" s="1"/>
  <c r="G19" i="55"/>
  <c r="F19" i="55"/>
  <c r="E19" i="55"/>
  <c r="D19" i="55"/>
  <c r="G5" i="55"/>
  <c r="D5" i="55"/>
  <c r="M1" i="55"/>
  <c r="J34" i="54"/>
  <c r="I34" i="54"/>
  <c r="J33" i="54"/>
  <c r="J32" i="54"/>
  <c r="I32" i="54"/>
  <c r="P19" i="54"/>
  <c r="O19" i="54"/>
  <c r="N19" i="54"/>
  <c r="H19" i="54"/>
  <c r="G19" i="54"/>
  <c r="F19" i="54"/>
  <c r="E19" i="54"/>
  <c r="D19" i="54"/>
  <c r="I19" i="54" s="1"/>
  <c r="G5" i="54"/>
  <c r="D5" i="54"/>
  <c r="M1" i="54"/>
  <c r="C10" i="53"/>
  <c r="B10" i="53"/>
  <c r="G9" i="53"/>
  <c r="H9" i="53" s="1"/>
  <c r="H10" i="53" s="1"/>
  <c r="G8" i="53"/>
  <c r="I8" i="53" s="1"/>
  <c r="G7" i="53"/>
  <c r="I7" i="53" s="1"/>
  <c r="I10" i="53" s="1"/>
  <c r="G6" i="53"/>
  <c r="J6" i="53" s="1"/>
  <c r="G5" i="53"/>
  <c r="J5" i="53" s="1"/>
  <c r="C10" i="52"/>
  <c r="B10" i="52"/>
  <c r="G9" i="52"/>
  <c r="H9" i="52" s="1"/>
  <c r="H10" i="52" s="1"/>
  <c r="I8" i="52"/>
  <c r="G8" i="52"/>
  <c r="G7" i="52"/>
  <c r="I7" i="52" s="1"/>
  <c r="I10" i="52" s="1"/>
  <c r="G6" i="52"/>
  <c r="J6" i="52" s="1"/>
  <c r="G5" i="52"/>
  <c r="J5" i="52" s="1"/>
  <c r="J10" i="52" s="1"/>
  <c r="AF7" i="27"/>
  <c r="AB7" i="27"/>
  <c r="H7" i="27"/>
  <c r="AF6" i="27"/>
  <c r="AB6" i="27"/>
  <c r="H6" i="27"/>
  <c r="D22" i="49"/>
  <c r="D25" i="49"/>
  <c r="D28" i="49"/>
  <c r="J32" i="42"/>
  <c r="I32" i="42"/>
  <c r="D5" i="42"/>
  <c r="G5" i="42"/>
  <c r="B10" i="62" l="1"/>
  <c r="C10" i="62" s="1"/>
  <c r="P35" i="56"/>
  <c r="O35" i="57"/>
  <c r="T39" i="57"/>
  <c r="T40" i="57"/>
  <c r="T41" i="57"/>
  <c r="T42" i="57"/>
  <c r="T43" i="57"/>
  <c r="T44" i="57"/>
  <c r="Q44" i="56"/>
  <c r="N39" i="57"/>
  <c r="U35" i="57"/>
  <c r="S35" i="57"/>
  <c r="R35" i="57"/>
  <c r="L35" i="57"/>
  <c r="N41" i="57"/>
  <c r="N40" i="57"/>
  <c r="Q35" i="57"/>
  <c r="P35" i="57"/>
  <c r="N44" i="57"/>
  <c r="N42" i="57"/>
  <c r="K39" i="57"/>
  <c r="K40" i="57"/>
  <c r="K42" i="57"/>
  <c r="K43" i="57"/>
  <c r="K44" i="57"/>
  <c r="N43" i="57"/>
  <c r="V35" i="57"/>
  <c r="K35" i="57"/>
  <c r="Q40" i="57"/>
  <c r="Q41" i="57"/>
  <c r="Q42" i="57"/>
  <c r="Q43" i="57"/>
  <c r="Q44" i="57"/>
  <c r="N39" i="56"/>
  <c r="N40" i="56"/>
  <c r="N41" i="56"/>
  <c r="N42" i="56"/>
  <c r="N44" i="56"/>
  <c r="K39" i="56"/>
  <c r="K41" i="56"/>
  <c r="K42" i="56"/>
  <c r="K43" i="56"/>
  <c r="T40" i="56"/>
  <c r="T41" i="56"/>
  <c r="T42" i="56"/>
  <c r="T43" i="56"/>
  <c r="T44" i="56"/>
  <c r="T39" i="56"/>
  <c r="K40" i="56"/>
  <c r="N43" i="56"/>
  <c r="K44" i="56"/>
  <c r="O35" i="56"/>
  <c r="L35" i="56"/>
  <c r="Q35" i="56"/>
  <c r="M35" i="56"/>
  <c r="I19" i="55"/>
  <c r="P19" i="55"/>
  <c r="I33" i="55"/>
  <c r="I33" i="54"/>
  <c r="J10" i="53"/>
  <c r="K10" i="53" s="1"/>
  <c r="C20" i="61"/>
  <c r="T35" i="57"/>
  <c r="K41" i="57"/>
  <c r="N35" i="57"/>
  <c r="Q39" i="57"/>
  <c r="T35" i="56"/>
  <c r="K35" i="56"/>
  <c r="N35" i="56"/>
  <c r="Q39" i="56"/>
  <c r="K10" i="52"/>
  <c r="AF5" i="27"/>
  <c r="AB5" i="27"/>
  <c r="E5" i="49"/>
  <c r="D5" i="49"/>
  <c r="F5" i="49"/>
  <c r="F8" i="49" s="1"/>
  <c r="F6" i="49" s="1"/>
  <c r="F7" i="49" s="1"/>
  <c r="AO5" i="27"/>
  <c r="F5" i="27"/>
  <c r="K48" i="57" l="1"/>
  <c r="K53" i="57"/>
  <c r="P62" i="57" s="1"/>
  <c r="K52" i="57"/>
  <c r="P61" i="57" s="1"/>
  <c r="K51" i="57"/>
  <c r="N60" i="57" s="1"/>
  <c r="K49" i="57"/>
  <c r="K50" i="57"/>
  <c r="P59" i="57" s="1"/>
  <c r="K50" i="56"/>
  <c r="P59" i="56" s="1"/>
  <c r="K53" i="56"/>
  <c r="P62" i="56" s="1"/>
  <c r="K49" i="56"/>
  <c r="K52" i="56"/>
  <c r="M61" i="56" s="1"/>
  <c r="K51" i="56"/>
  <c r="P60" i="56" s="1"/>
  <c r="K48" i="56"/>
  <c r="C34" i="49"/>
  <c r="C22" i="46"/>
  <c r="P58" i="56" l="1"/>
  <c r="N62" i="57"/>
  <c r="L62" i="57"/>
  <c r="L67" i="57" s="1"/>
  <c r="T67" i="57" s="1"/>
  <c r="M62" i="57"/>
  <c r="O62" i="57"/>
  <c r="M61" i="57"/>
  <c r="P58" i="57"/>
  <c r="N61" i="57"/>
  <c r="O61" i="57"/>
  <c r="O60" i="57"/>
  <c r="P60" i="57"/>
  <c r="O59" i="57"/>
  <c r="P61" i="56"/>
  <c r="O60" i="56"/>
  <c r="N60" i="56"/>
  <c r="N61" i="56"/>
  <c r="O61" i="56"/>
  <c r="O59" i="56"/>
  <c r="L62" i="56"/>
  <c r="L67" i="56" s="1"/>
  <c r="T67" i="56" s="1"/>
  <c r="M62" i="56"/>
  <c r="N62" i="56"/>
  <c r="O62" i="56"/>
  <c r="G9" i="41"/>
  <c r="G7" i="41"/>
  <c r="G8" i="41"/>
  <c r="Q62" i="57" l="1"/>
  <c r="Q61" i="57"/>
  <c r="Q61" i="56"/>
  <c r="Q62" i="56"/>
  <c r="C14" i="49"/>
  <c r="B17" i="49"/>
  <c r="E15" i="49" s="1"/>
  <c r="D15" i="49" l="1"/>
  <c r="D8" i="49" l="1"/>
  <c r="D6" i="49" s="1"/>
  <c r="D7" i="49" s="1"/>
  <c r="E8" i="49"/>
  <c r="E6" i="49" s="1"/>
  <c r="E7" i="49" s="1"/>
  <c r="C32" i="49" l="1"/>
  <c r="C33" i="49"/>
  <c r="C10" i="46" l="1"/>
  <c r="C3" i="46" l="1"/>
  <c r="C19" i="46" l="1"/>
  <c r="C17" i="46"/>
  <c r="C18" i="46"/>
  <c r="C21" i="46"/>
  <c r="C20" i="46"/>
  <c r="E32" i="58" l="1"/>
  <c r="E32" i="59"/>
  <c r="E33" i="59"/>
  <c r="E34" i="59"/>
  <c r="E34" i="58"/>
  <c r="E33" i="58"/>
  <c r="M57" i="57"/>
  <c r="M57" i="56"/>
  <c r="E34" i="49"/>
  <c r="L58" i="56"/>
  <c r="L58" i="57"/>
  <c r="D33" i="59"/>
  <c r="D34" i="59"/>
  <c r="D33" i="58"/>
  <c r="D32" i="58"/>
  <c r="D32" i="59"/>
  <c r="D34" i="58"/>
  <c r="L57" i="56"/>
  <c r="D34" i="49"/>
  <c r="L57" i="57"/>
  <c r="G34" i="59"/>
  <c r="G33" i="58"/>
  <c r="G32" i="59"/>
  <c r="G34" i="58"/>
  <c r="G33" i="59"/>
  <c r="G32" i="58"/>
  <c r="N58" i="56"/>
  <c r="N58" i="57"/>
  <c r="O57" i="57"/>
  <c r="M59" i="56"/>
  <c r="Q59" i="56" s="1"/>
  <c r="L60" i="56"/>
  <c r="M59" i="57"/>
  <c r="O57" i="56"/>
  <c r="G34" i="49"/>
  <c r="L60" i="57"/>
  <c r="H33" i="59"/>
  <c r="H34" i="58"/>
  <c r="H32" i="58"/>
  <c r="H34" i="59"/>
  <c r="H33" i="58"/>
  <c r="H32" i="59"/>
  <c r="L61" i="57"/>
  <c r="P57" i="56"/>
  <c r="P57" i="57"/>
  <c r="O58" i="57"/>
  <c r="L61" i="56"/>
  <c r="N59" i="57"/>
  <c r="H34" i="49"/>
  <c r="M60" i="57"/>
  <c r="Q60" i="57" s="1"/>
  <c r="N59" i="56"/>
  <c r="O58" i="56"/>
  <c r="M60" i="56"/>
  <c r="Q60" i="56" s="1"/>
  <c r="F34" i="58"/>
  <c r="F33" i="59"/>
  <c r="F33" i="58"/>
  <c r="F32" i="59"/>
  <c r="F34" i="59"/>
  <c r="F32" i="58"/>
  <c r="L59" i="57"/>
  <c r="N57" i="56"/>
  <c r="M58" i="56"/>
  <c r="F34" i="49"/>
  <c r="M58" i="57"/>
  <c r="N57" i="57"/>
  <c r="L59" i="56"/>
  <c r="H32" i="49"/>
  <c r="H33" i="49"/>
  <c r="E32" i="49"/>
  <c r="E33" i="49"/>
  <c r="D32" i="49"/>
  <c r="D33" i="49"/>
  <c r="G33" i="49"/>
  <c r="G32" i="49"/>
  <c r="F33" i="49"/>
  <c r="F32" i="49"/>
  <c r="V30" i="45"/>
  <c r="U30" i="45"/>
  <c r="T30" i="45"/>
  <c r="S30" i="45"/>
  <c r="R30" i="45"/>
  <c r="Q30" i="45"/>
  <c r="P30" i="45"/>
  <c r="O30" i="45"/>
  <c r="N30" i="45"/>
  <c r="M30" i="45"/>
  <c r="L30" i="45"/>
  <c r="K30" i="45"/>
  <c r="Q58" i="56" l="1"/>
  <c r="Z5" i="27"/>
  <c r="AA5" i="27" s="1"/>
  <c r="AA7" i="27"/>
  <c r="AA6" i="27"/>
  <c r="AD5" i="27"/>
  <c r="AE5" i="27" s="1"/>
  <c r="B7" i="28" s="1"/>
  <c r="C7" i="28" s="1"/>
  <c r="AE7" i="27"/>
  <c r="AE6" i="27"/>
  <c r="L66" i="57"/>
  <c r="T66" i="57" s="1"/>
  <c r="I34" i="49"/>
  <c r="Q59" i="57"/>
  <c r="L65" i="57"/>
  <c r="T65" i="57" s="1"/>
  <c r="Q57" i="56"/>
  <c r="L66" i="56"/>
  <c r="T66" i="56" s="1"/>
  <c r="Q57" i="57"/>
  <c r="I33" i="58"/>
  <c r="I34" i="58"/>
  <c r="I34" i="59"/>
  <c r="Q58" i="57"/>
  <c r="I33" i="59"/>
  <c r="L65" i="56"/>
  <c r="T65" i="56" s="1"/>
  <c r="I32" i="59"/>
  <c r="I32" i="58"/>
  <c r="I33" i="49"/>
  <c r="I32" i="49"/>
  <c r="V34" i="45"/>
  <c r="R34" i="45"/>
  <c r="N34" i="45"/>
  <c r="V33" i="45"/>
  <c r="U33" i="45"/>
  <c r="T33" i="45"/>
  <c r="S33" i="45"/>
  <c r="R33" i="45"/>
  <c r="Q33" i="45"/>
  <c r="P33" i="45"/>
  <c r="O33" i="45"/>
  <c r="N33" i="45"/>
  <c r="M33" i="45"/>
  <c r="L33" i="45"/>
  <c r="K33" i="45"/>
  <c r="M31" i="45" l="1"/>
  <c r="Q31" i="45"/>
  <c r="U31" i="45"/>
  <c r="K31" i="45"/>
  <c r="O31" i="45"/>
  <c r="S31" i="45"/>
  <c r="K34" i="45"/>
  <c r="O34" i="45"/>
  <c r="S34" i="45"/>
  <c r="L31" i="45"/>
  <c r="P31" i="45"/>
  <c r="T31" i="45"/>
  <c r="N31" i="45"/>
  <c r="R31" i="45"/>
  <c r="V31" i="45"/>
  <c r="N29" i="45"/>
  <c r="R29" i="45"/>
  <c r="V29" i="45"/>
  <c r="N32" i="45"/>
  <c r="R32" i="45"/>
  <c r="V32" i="45"/>
  <c r="M29" i="45"/>
  <c r="Q29" i="45"/>
  <c r="U29" i="45"/>
  <c r="M32" i="45"/>
  <c r="Q32" i="45"/>
  <c r="U32" i="45"/>
  <c r="K29" i="45"/>
  <c r="O29" i="45"/>
  <c r="S29" i="45"/>
  <c r="K32" i="45"/>
  <c r="O32" i="45"/>
  <c r="S32" i="45"/>
  <c r="Q43" i="45"/>
  <c r="L34" i="45"/>
  <c r="P34" i="45"/>
  <c r="T34" i="45"/>
  <c r="L29" i="45"/>
  <c r="P29" i="45"/>
  <c r="T29" i="45"/>
  <c r="L32" i="45"/>
  <c r="P32" i="45"/>
  <c r="T32" i="45"/>
  <c r="N43" i="45"/>
  <c r="M34" i="45"/>
  <c r="Q34" i="45"/>
  <c r="U34" i="45"/>
  <c r="K43" i="45"/>
  <c r="T43" i="45"/>
  <c r="K52" i="45" l="1"/>
  <c r="P61" i="45" s="1"/>
  <c r="Q44" i="45"/>
  <c r="M35" i="45"/>
  <c r="Q41" i="45"/>
  <c r="K40" i="45"/>
  <c r="K41" i="45"/>
  <c r="N42" i="45"/>
  <c r="R35" i="45"/>
  <c r="N44" i="45"/>
  <c r="N41" i="45"/>
  <c r="T41" i="45"/>
  <c r="Q42" i="45"/>
  <c r="Q39" i="45"/>
  <c r="T39" i="45"/>
  <c r="N40" i="45"/>
  <c r="K44" i="45"/>
  <c r="U35" i="45"/>
  <c r="T42" i="45"/>
  <c r="K39" i="45"/>
  <c r="K42" i="45"/>
  <c r="Q40" i="45"/>
  <c r="O35" i="45"/>
  <c r="T40" i="45"/>
  <c r="T35" i="45"/>
  <c r="N35" i="45"/>
  <c r="L35" i="45"/>
  <c r="N39" i="45"/>
  <c r="K35" i="45"/>
  <c r="V35" i="45"/>
  <c r="S35" i="45"/>
  <c r="Q35" i="45"/>
  <c r="P35" i="45"/>
  <c r="T44" i="45"/>
  <c r="N19" i="42"/>
  <c r="I34" i="42" s="1"/>
  <c r="O19" i="42"/>
  <c r="J34" i="42" s="1"/>
  <c r="N61" i="45" l="1"/>
  <c r="O61" i="45"/>
  <c r="L61" i="45"/>
  <c r="M61" i="45"/>
  <c r="K53" i="45"/>
  <c r="P62" i="45" s="1"/>
  <c r="K48" i="45"/>
  <c r="L57" i="45" s="1"/>
  <c r="K50" i="45"/>
  <c r="P59" i="45" s="1"/>
  <c r="K51" i="45"/>
  <c r="P60" i="45" s="1"/>
  <c r="K49" i="45"/>
  <c r="P58" i="45" s="1"/>
  <c r="Q61" i="45" l="1"/>
  <c r="O57" i="45"/>
  <c r="P57" i="45"/>
  <c r="N60" i="45"/>
  <c r="O60" i="45"/>
  <c r="N59" i="45"/>
  <c r="O59" i="45"/>
  <c r="N58" i="45"/>
  <c r="O58" i="45"/>
  <c r="N62" i="45"/>
  <c r="O62" i="45"/>
  <c r="N57" i="45"/>
  <c r="M57" i="45"/>
  <c r="L62" i="45"/>
  <c r="L67" i="45" s="1"/>
  <c r="T67" i="45" s="1"/>
  <c r="M62" i="45"/>
  <c r="L58" i="45"/>
  <c r="M58" i="45"/>
  <c r="L60" i="45"/>
  <c r="L66" i="45" s="1"/>
  <c r="T66" i="45" s="1"/>
  <c r="M60" i="45"/>
  <c r="L59" i="45"/>
  <c r="M59" i="45"/>
  <c r="V5" i="27" l="1"/>
  <c r="W7" i="27"/>
  <c r="W6" i="27"/>
  <c r="AI6" i="27"/>
  <c r="AI7" i="27"/>
  <c r="AH5" i="27"/>
  <c r="AI5" i="27" s="1"/>
  <c r="W5" i="27"/>
  <c r="L65" i="45"/>
  <c r="T65" i="45" s="1"/>
  <c r="Q59" i="45"/>
  <c r="Q58" i="45"/>
  <c r="Q57" i="45"/>
  <c r="Q62" i="45"/>
  <c r="Q60" i="45"/>
  <c r="S7" i="27" l="1"/>
  <c r="S6" i="27"/>
  <c r="R5" i="27"/>
  <c r="B8" i="28"/>
  <c r="C8" i="28" s="1"/>
  <c r="S5" i="27" l="1"/>
  <c r="P19" i="42"/>
  <c r="N5" i="27" l="1"/>
  <c r="O5" i="27" s="1"/>
  <c r="B5" i="28" s="1"/>
  <c r="C5" i="28" s="1"/>
  <c r="O7" i="27"/>
  <c r="O6" i="27"/>
  <c r="B6" i="28"/>
  <c r="C6" i="28" s="1"/>
  <c r="H19" i="42"/>
  <c r="J33" i="42" s="1"/>
  <c r="G19" i="42"/>
  <c r="F19" i="42"/>
  <c r="E19" i="42"/>
  <c r="D19" i="42"/>
  <c r="I33" i="42" s="1"/>
  <c r="M1" i="42"/>
  <c r="B10" i="41"/>
  <c r="H9" i="41"/>
  <c r="H10" i="41" s="1"/>
  <c r="I8" i="41"/>
  <c r="I7" i="41"/>
  <c r="G6" i="41"/>
  <c r="J6" i="41" s="1"/>
  <c r="G5" i="41"/>
  <c r="J5" i="41" s="1"/>
  <c r="J10" i="41" l="1"/>
  <c r="I10" i="41"/>
  <c r="I19" i="42"/>
  <c r="C10" i="41"/>
  <c r="J5" i="27" l="1"/>
  <c r="K5" i="27" s="1"/>
  <c r="K6" i="27"/>
  <c r="K7" i="27"/>
  <c r="E7" i="27" s="1"/>
  <c r="B4" i="28"/>
  <c r="C4" i="28" s="1"/>
  <c r="K10" i="41"/>
  <c r="AP7" i="27" l="1"/>
  <c r="AQ7" i="27" s="1"/>
  <c r="AN7" i="27"/>
  <c r="E6" i="27"/>
  <c r="B9" i="28"/>
  <c r="C9" i="28" s="1"/>
  <c r="H5" i="27"/>
  <c r="E5" i="27" s="1"/>
  <c r="AP6" i="27" l="1"/>
  <c r="AQ6" i="27" s="1"/>
  <c r="AN6" i="27"/>
  <c r="B3" i="28"/>
  <c r="B10" i="28" l="1"/>
  <c r="C10" i="28" s="1"/>
  <c r="C3" i="28"/>
  <c r="AN5" i="27"/>
  <c r="AP5" i="27"/>
  <c r="AQ5" i="27" s="1"/>
</calcChain>
</file>

<file path=xl/sharedStrings.xml><?xml version="1.0" encoding="utf-8"?>
<sst xmlns="http://schemas.openxmlformats.org/spreadsheetml/2006/main" count="1195" uniqueCount="397">
  <si>
    <t>m3</t>
  </si>
  <si>
    <t>SPZ</t>
  </si>
  <si>
    <t>Celkové emisie (v g)</t>
  </si>
  <si>
    <t xml:space="preserve">CO2g/km </t>
  </si>
  <si>
    <t>https://www.enviwiki.cz/wiki/Soubor:Podil_dopravy_naznecisteni.png</t>
  </si>
  <si>
    <t>https://zpravy.aktualne.cz/domaci/emise-z-dopravy-v-cesku-rostou-temer-nejrychleji-z-cele-eu/r~83f15c24975011e9b7740cc47ab5f122/</t>
  </si>
  <si>
    <t>name</t>
  </si>
  <si>
    <t>El. Energie</t>
  </si>
  <si>
    <t>sum</t>
  </si>
  <si>
    <t>https://www.veronica.cz/otazky?i=275</t>
  </si>
  <si>
    <t>Zemní plyn</t>
  </si>
  <si>
    <t>0,20 t CO2 /MWh výhřevnosti paliva</t>
  </si>
  <si>
    <t>Elektřina</t>
  </si>
  <si>
    <t>1,17 t CO2 /MWh elektřiny</t>
  </si>
  <si>
    <t>https://www.mpo.cz/dokument6794.html</t>
  </si>
  <si>
    <t>web</t>
  </si>
  <si>
    <t>papir</t>
  </si>
  <si>
    <t xml:space="preserve">web </t>
  </si>
  <si>
    <t xml:space="preserve">plast </t>
  </si>
  <si>
    <t>Google co2 emissions per ton of paper</t>
  </si>
  <si>
    <t>%</t>
  </si>
  <si>
    <t>GigaJoul</t>
  </si>
  <si>
    <t>https://www.convertunits.com/from/MWh/to/gigajoule</t>
  </si>
  <si>
    <t>https://www.canadianbiomassmagazine.ca/images/stories/c02_whitepaper.pdf</t>
  </si>
  <si>
    <t>http://envis.praha-mesto.cz/rocenky/DZ_OO/pril_practexty/BK02/2_CO2Emise.pdf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</si>
  <si>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</si>
  <si>
    <t>wood</t>
  </si>
  <si>
    <t>nat gas</t>
  </si>
  <si>
    <t>1MWh</t>
  </si>
  <si>
    <t>200kg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</si>
  <si>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/kg/GJ</t>
    </r>
  </si>
  <si>
    <t>1 Ton</t>
  </si>
  <si>
    <t>Google CO2 emissions per ton of plastic</t>
  </si>
  <si>
    <t>CR</t>
  </si>
  <si>
    <r>
      <t>Celkem CO</t>
    </r>
    <r>
      <rPr>
        <b/>
        <i/>
        <vertAlign val="subscript"/>
        <sz val="11"/>
        <color theme="1"/>
        <rFont val="Calibri"/>
        <family val="2"/>
        <scheme val="minor"/>
      </rPr>
      <t>2</t>
    </r>
  </si>
  <si>
    <r>
      <t>CO</t>
    </r>
    <r>
      <rPr>
        <vertAlign val="subscript"/>
        <sz val="11"/>
        <color theme="0"/>
        <rFont val="Calibri"/>
        <family val="2"/>
        <scheme val="minor"/>
      </rPr>
      <t>2</t>
    </r>
    <r>
      <rPr>
        <sz val="11"/>
        <color theme="0"/>
        <rFont val="Calibri"/>
        <family val="2"/>
        <scheme val="minor"/>
      </rPr>
      <t xml:space="preserve"> kg</t>
    </r>
  </si>
  <si>
    <t>Řidič</t>
  </si>
  <si>
    <t>Celkem km</t>
  </si>
  <si>
    <t>Emise 2020 kg</t>
  </si>
  <si>
    <t>CZ Přeprava 15% MŽP</t>
  </si>
  <si>
    <t xml:space="preserve">El. energie MWh </t>
  </si>
  <si>
    <t xml:space="preserve">Plyn MWh </t>
  </si>
  <si>
    <t>koeficient</t>
  </si>
  <si>
    <t>kg</t>
  </si>
  <si>
    <t> 1170        1 kWh elektřiny vznikne 1,17 kg CO2. Hodnota se pro jednotlivé země liší - je dána podílem uhelných, vodních, větrných, jaderných  a dalších elektráren. České číslo je poměrně vysoké - souvisí s naší energetickou závislostí  na hnědém uhlí.</t>
  </si>
  <si>
    <t> na 1 MWh tepla vzniklého spálením zemního plynu se uvolní 0,2 t CO2</t>
  </si>
  <si>
    <t>Stabilne</t>
  </si>
  <si>
    <t>Vlákna mohou být recyklována  max. 6-8 krát.</t>
  </si>
  <si>
    <t>https://www.asknumbers.com/kwh-to-mwh.aspx</t>
  </si>
  <si>
    <t>Plyn tab MWh</t>
  </si>
  <si>
    <t>https://www.kurzy.cz/plyn/prevod-m3-mwh</t>
  </si>
  <si>
    <t>Pan</t>
  </si>
  <si>
    <t>Paní</t>
  </si>
  <si>
    <t>Sales</t>
  </si>
  <si>
    <t>Region</t>
  </si>
  <si>
    <t>6AU</t>
  </si>
  <si>
    <t>7AH</t>
  </si>
  <si>
    <t>7AV</t>
  </si>
  <si>
    <t>1BV</t>
  </si>
  <si>
    <t>Dílna</t>
  </si>
  <si>
    <t>Tab zdroj 23/2/2022</t>
  </si>
  <si>
    <t>Dílna1</t>
  </si>
  <si>
    <t>office</t>
  </si>
  <si>
    <t>Kolik jsem spotřeboval megawatthodin?</t>
  </si>
  <si>
    <t>V tomto případě jde o fakturu na 4,99 MWh za fakturační období 29. 8. 2015 – 6. 9.</t>
  </si>
  <si>
    <t xml:space="preserve"> V části faktury zjistíte, jak velkou spotřebu v MWh vám společnost účtuje a za jak dlouhé období. </t>
  </si>
  <si>
    <t>https://www.mesec.cz/clanky/co-najdete-na-fakture-za-elektrinu-a-plyn-podrobne-jsme-ji-rozebrali/</t>
  </si>
  <si>
    <r>
      <t>koef gas 1MWh/200kg CO</t>
    </r>
    <r>
      <rPr>
        <i/>
        <vertAlign val="subscript"/>
        <sz val="11"/>
        <color rgb="FF7030A0"/>
        <rFont val="Calibri"/>
        <family val="2"/>
        <scheme val="minor"/>
      </rPr>
      <t>2</t>
    </r>
  </si>
  <si>
    <r>
      <t>Koeficient CO</t>
    </r>
    <r>
      <rPr>
        <i/>
        <vertAlign val="subscript"/>
        <sz val="11"/>
        <color rgb="FF7030A0"/>
        <rFont val="Calibri"/>
        <family val="2"/>
        <scheme val="minor"/>
      </rPr>
      <t xml:space="preserve">2 </t>
    </r>
    <r>
      <rPr>
        <i/>
        <sz val="11"/>
        <color rgb="FF7030A0"/>
        <rFont val="Calibri"/>
        <family val="2"/>
        <scheme val="minor"/>
      </rPr>
      <t>Energie ČR</t>
    </r>
  </si>
  <si>
    <t>EKOKOM Vykaz</t>
  </si>
  <si>
    <t>kg hmotnost 1 kusu (jednotky)</t>
  </si>
  <si>
    <t>druh</t>
  </si>
  <si>
    <t>material</t>
  </si>
  <si>
    <t>popis</t>
  </si>
  <si>
    <t>balení /počet kusů/</t>
  </si>
  <si>
    <t>1 2021</t>
  </si>
  <si>
    <t>2 2021</t>
  </si>
  <si>
    <t>3 2021</t>
  </si>
  <si>
    <t>4 2021</t>
  </si>
  <si>
    <t>5 2021</t>
  </si>
  <si>
    <t>6 2021</t>
  </si>
  <si>
    <t>7 2021</t>
  </si>
  <si>
    <t>8 2021</t>
  </si>
  <si>
    <t>9 2021</t>
  </si>
  <si>
    <t>10 2021</t>
  </si>
  <si>
    <t>11 2021</t>
  </si>
  <si>
    <t>12 2021</t>
  </si>
  <si>
    <t>1 2022</t>
  </si>
  <si>
    <t>2 2022</t>
  </si>
  <si>
    <t>VlnitaLepenka</t>
  </si>
  <si>
    <t>1 paleta/1240ks</t>
  </si>
  <si>
    <t>krabice 225*190*145</t>
  </si>
  <si>
    <t>VÍKO</t>
  </si>
  <si>
    <t>OBÁLKA</t>
  </si>
  <si>
    <t>1pal/1000ks</t>
  </si>
  <si>
    <t>OBÁLKA - expedice</t>
  </si>
  <si>
    <t>samolepící 220 x 160 mm</t>
  </si>
  <si>
    <t>1 balení / 1000 kusů</t>
  </si>
  <si>
    <t>CMR</t>
  </si>
  <si>
    <t>Papir</t>
  </si>
  <si>
    <t>1balení/100</t>
  </si>
  <si>
    <t>LEPÍCÍ PÁSKA</t>
  </si>
  <si>
    <t>PE</t>
  </si>
  <si>
    <t>Lepici paska 50mm klasik, transparent</t>
  </si>
  <si>
    <t>1krabice/36ks.</t>
  </si>
  <si>
    <t>1krabice/72ks.</t>
  </si>
  <si>
    <t>výstražná červená</t>
  </si>
  <si>
    <t>1 krabice/28ks.</t>
  </si>
  <si>
    <t>FOLIE</t>
  </si>
  <si>
    <t>Stretch šíře 500mm/23my/ prutazna rucni folie Cerna</t>
  </si>
  <si>
    <t>1krabice/6ks.</t>
  </si>
  <si>
    <t>1 role</t>
  </si>
  <si>
    <t>bublinková folie 1/100 m</t>
  </si>
  <si>
    <t>výstražné - neklopit</t>
  </si>
  <si>
    <t>1role/500ks.</t>
  </si>
  <si>
    <t>samolepící etiketa 45*35 - DOCUMENTS</t>
  </si>
  <si>
    <t>1 role/2000ks</t>
  </si>
  <si>
    <t>1 paleta/48ks</t>
  </si>
  <si>
    <t xml:space="preserve">PE sácky 160*260 </t>
  </si>
  <si>
    <t>2000/krabice</t>
  </si>
  <si>
    <t>STRAPPER</t>
  </si>
  <si>
    <t>PP</t>
  </si>
  <si>
    <t>pásky cerné - 10 role</t>
  </si>
  <si>
    <t>1 paleta/48ks.</t>
  </si>
  <si>
    <t>Vlnitalepenka</t>
  </si>
  <si>
    <t>Dřevo</t>
  </si>
  <si>
    <t>sum kg</t>
  </si>
  <si>
    <t>Tons</t>
  </si>
  <si>
    <t>2021 -Q1</t>
  </si>
  <si>
    <t>2021 -Q2</t>
  </si>
  <si>
    <t>2021 -Q3</t>
  </si>
  <si>
    <t>2021 -Q4</t>
  </si>
  <si>
    <t>2022 -Q1</t>
  </si>
  <si>
    <t>Papír fixační - malý</t>
  </si>
  <si>
    <r>
      <t>Tenká - 25</t>
    </r>
    <r>
      <rPr>
        <i/>
        <sz val="9"/>
        <rFont val="Calibri"/>
        <family val="2"/>
      </rPr>
      <t xml:space="preserve">mm </t>
    </r>
    <r>
      <rPr>
        <i/>
        <sz val="11"/>
        <rFont val="Calibri"/>
        <family val="2"/>
      </rPr>
      <t>x 66</t>
    </r>
    <r>
      <rPr>
        <i/>
        <sz val="9"/>
        <rFont val="Calibri"/>
        <family val="2"/>
      </rPr>
      <t>m</t>
    </r>
  </si>
  <si>
    <t>EXACT TRUE</t>
  </si>
  <si>
    <t>STANDARD BOX</t>
  </si>
  <si>
    <t>BOX-Y</t>
  </si>
  <si>
    <t>Box-Y-halfpart</t>
  </si>
  <si>
    <t>combi 6</t>
  </si>
  <si>
    <t>1 paleta/1600ks</t>
  </si>
  <si>
    <t>2 palety/340ks</t>
  </si>
  <si>
    <t>1pal/2300ks</t>
  </si>
  <si>
    <t>1paleta/2800ks.</t>
  </si>
  <si>
    <t>2 palety/2200ks</t>
  </si>
  <si>
    <t>1 paleta/3320 ks</t>
  </si>
  <si>
    <t>Boxz</t>
  </si>
  <si>
    <t>Jine</t>
  </si>
  <si>
    <t>SK</t>
  </si>
  <si>
    <t>PL</t>
  </si>
  <si>
    <t>HU</t>
  </si>
  <si>
    <t>Hmotnost</t>
  </si>
  <si>
    <t>CZ</t>
  </si>
  <si>
    <t>DE</t>
  </si>
  <si>
    <t>sum export</t>
  </si>
  <si>
    <t>Podíl</t>
  </si>
  <si>
    <t>Inbound zaklad % 100</t>
  </si>
  <si>
    <t>Pass on</t>
  </si>
  <si>
    <t>waste</t>
  </si>
  <si>
    <t>CR%</t>
  </si>
  <si>
    <t>Zb.%</t>
  </si>
  <si>
    <t>Vazeno, certifikovano</t>
  </si>
  <si>
    <t>EU</t>
  </si>
  <si>
    <t>rest</t>
  </si>
  <si>
    <t>obaly (TONS)</t>
  </si>
  <si>
    <t>Papír O</t>
  </si>
  <si>
    <t>Plastové obaly O</t>
  </si>
  <si>
    <t>Dřevo O</t>
  </si>
  <si>
    <t>Železo ocel O</t>
  </si>
  <si>
    <t>Kvalifikovany odhad</t>
  </si>
  <si>
    <t>Znečištěné obaly N</t>
  </si>
  <si>
    <t>Směsný komunální odpad O</t>
  </si>
  <si>
    <t>Objemný odpad O</t>
  </si>
  <si>
    <t>dřevo bez palet</t>
  </si>
  <si>
    <t>Plasty</t>
  </si>
  <si>
    <t>na 1 pouziti</t>
  </si>
  <si>
    <t>plasty Jine</t>
  </si>
  <si>
    <t>do obehu</t>
  </si>
  <si>
    <t>Dovoz</t>
  </si>
  <si>
    <t>Dodano</t>
  </si>
  <si>
    <t>Odpad 1 %</t>
  </si>
  <si>
    <t>SvozFirma</t>
  </si>
  <si>
    <t>Prijem</t>
  </si>
  <si>
    <t>Prijem zbozi</t>
  </si>
  <si>
    <t>Estimate % 2021</t>
  </si>
  <si>
    <t>Sum kg</t>
  </si>
  <si>
    <t>Prevod kWh to mWh</t>
  </si>
  <si>
    <t>najeto za rok 2021</t>
  </si>
  <si>
    <t>Energeticky mix</t>
  </si>
  <si>
    <t>Meni se</t>
  </si>
  <si>
    <t>činidla, čističe N</t>
  </si>
  <si>
    <t>Import gross vaha</t>
  </si>
  <si>
    <t>sum (Tuny)</t>
  </si>
  <si>
    <t>Tab Odpady E,</t>
  </si>
  <si>
    <t>papir prumyslove</t>
  </si>
  <si>
    <t>bublinková obálka H</t>
  </si>
  <si>
    <t>box 375*225*160</t>
  </si>
  <si>
    <t>víka</t>
  </si>
  <si>
    <t>krabice 420*330*180</t>
  </si>
  <si>
    <t>stavebnice 210*100*140</t>
  </si>
  <si>
    <t>Karton</t>
  </si>
  <si>
    <t>sum bez CZ</t>
  </si>
  <si>
    <t>Bez CR</t>
  </si>
  <si>
    <t>Tab Odpady B, Dodavatele</t>
  </si>
  <si>
    <t>IN</t>
  </si>
  <si>
    <t>ON</t>
  </si>
  <si>
    <t>jiné</t>
  </si>
  <si>
    <t>Jiné</t>
  </si>
  <si>
    <r>
      <t>El. energie  CO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</si>
  <si>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kg</t>
    </r>
  </si>
  <si>
    <r>
      <t>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Sum emise (kg)</t>
    </r>
  </si>
  <si>
    <t>Spotřeby</t>
  </si>
  <si>
    <t>Popis</t>
  </si>
  <si>
    <t>Drevo</t>
  </si>
  <si>
    <t>CZ Sum Papir kg</t>
  </si>
  <si>
    <t>CZ Sum Plast kg</t>
  </si>
  <si>
    <r>
      <t>Koef. Papir CO</t>
    </r>
    <r>
      <rPr>
        <vertAlign val="subscript"/>
        <sz val="11"/>
        <color theme="3" tint="-0.499984740745262"/>
        <rFont val="Calibri"/>
        <family val="2"/>
        <scheme val="minor"/>
      </rPr>
      <t>2</t>
    </r>
    <r>
      <rPr>
        <sz val="11"/>
        <color theme="3" tint="-0.499984740745262"/>
        <rFont val="Calibri"/>
        <family val="2"/>
        <scheme val="minor"/>
      </rPr>
      <t xml:space="preserve"> </t>
    </r>
  </si>
  <si>
    <r>
      <t>Plyn CO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</si>
  <si>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Auta CO</t>
    </r>
    <r>
      <rPr>
        <b/>
        <vertAlign val="subscript"/>
        <sz val="11"/>
        <color theme="0"/>
        <rFont val="Calibri"/>
        <family val="2"/>
        <scheme val="minor"/>
      </rPr>
      <t>2</t>
    </r>
    <r>
      <rPr>
        <b/>
        <sz val="11"/>
        <color theme="0"/>
        <rFont val="Calibri"/>
        <family val="2"/>
        <scheme val="minor"/>
      </rPr>
      <t xml:space="preserve"> kg</t>
    </r>
  </si>
  <si>
    <t>Auta Workshop</t>
  </si>
  <si>
    <r>
      <t>Plyn CO</t>
    </r>
    <r>
      <rPr>
        <b/>
        <vertAlign val="subscript"/>
        <sz val="11"/>
        <rFont val="Calibri"/>
        <family val="2"/>
        <scheme val="minor"/>
      </rPr>
      <t>2</t>
    </r>
  </si>
  <si>
    <t>plyn zemni</t>
  </si>
  <si>
    <r>
      <t>Koeficient gas CO</t>
    </r>
    <r>
      <rPr>
        <i/>
        <vertAlign val="subscript"/>
        <sz val="11"/>
        <color rgb="FF7030A0"/>
        <rFont val="Calibri"/>
        <family val="2"/>
        <scheme val="minor"/>
      </rPr>
      <t>2</t>
    </r>
    <r>
      <rPr>
        <i/>
        <sz val="11"/>
        <color rgb="FF7030A0"/>
        <rFont val="Calibri"/>
        <family val="2"/>
        <scheme val="minor"/>
      </rPr>
      <t xml:space="preserve"> Plyn ČR</t>
    </r>
  </si>
  <si>
    <t>E.proud MWh</t>
  </si>
  <si>
    <r>
      <t>Koeficient Dřevo CO</t>
    </r>
    <r>
      <rPr>
        <i/>
        <vertAlign val="subscript"/>
        <sz val="11"/>
        <color rgb="FF7030A0"/>
        <rFont val="Calibri"/>
        <family val="2"/>
        <scheme val="minor"/>
      </rPr>
      <t>2</t>
    </r>
  </si>
  <si>
    <r>
      <t>Koef. Plast CO</t>
    </r>
    <r>
      <rPr>
        <i/>
        <vertAlign val="subscript"/>
        <sz val="11"/>
        <color rgb="FF7030A0"/>
        <rFont val="Calibri"/>
        <family val="2"/>
        <scheme val="minor"/>
      </rPr>
      <t>2</t>
    </r>
  </si>
  <si>
    <t>drevo</t>
  </si>
  <si>
    <t>Expedice zbozi  (tuny)</t>
  </si>
  <si>
    <t>Produkce CZ kg</t>
  </si>
  <si>
    <r>
      <t>Cíl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/1kg</t>
    </r>
  </si>
  <si>
    <r>
      <t>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/1 Kg Produkce CZ</t>
    </r>
  </si>
  <si>
    <t>Tuny</t>
  </si>
  <si>
    <t>Preposlano</t>
  </si>
  <si>
    <t>Odpady</t>
  </si>
  <si>
    <r>
      <t>Koef. Papir CO</t>
    </r>
    <r>
      <rPr>
        <i/>
        <vertAlign val="subscript"/>
        <sz val="11"/>
        <color rgb="FF7030A0"/>
        <rFont val="Calibri"/>
        <family val="2"/>
        <scheme val="minor"/>
      </rPr>
      <t>2</t>
    </r>
    <r>
      <rPr>
        <i/>
        <sz val="11"/>
        <color rgb="FF7030A0"/>
        <rFont val="Calibri"/>
        <family val="2"/>
        <scheme val="minor"/>
      </rPr>
      <t xml:space="preserve"> </t>
    </r>
  </si>
  <si>
    <r>
      <t>Drevo CO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</si>
  <si>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CZ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sum Kg</t>
    </r>
  </si>
  <si>
    <t>Konecny mesic</t>
  </si>
  <si>
    <t>Rok</t>
  </si>
  <si>
    <t>CZ 2021</t>
  </si>
  <si>
    <t>Auta</t>
  </si>
  <si>
    <t>Plyn</t>
  </si>
  <si>
    <r>
      <t>Most recent answer 2020: ( 212 Kg </t>
    </r>
    <r>
      <rPr>
        <b/>
        <sz val="11"/>
        <color theme="1" tint="0.249977111117893"/>
        <rFont val="Arial Narrow"/>
        <family val="2"/>
      </rPr>
      <t>CO2</t>
    </r>
    <r>
      <rPr>
        <sz val="11"/>
        <color theme="1" tint="0.249977111117893"/>
        <rFont val="Arial Narrow"/>
        <family val="2"/>
      </rPr>
      <t>/</t>
    </r>
    <r>
      <rPr>
        <b/>
        <sz val="11"/>
        <color theme="1" tint="0.249977111117893"/>
        <rFont val="Arial Narrow"/>
        <family val="2"/>
      </rPr>
      <t>Ton paper</t>
    </r>
    <r>
      <rPr>
        <sz val="11"/>
        <color theme="1" tint="0.249977111117893"/>
        <rFont val="Arial Narrow"/>
        <family val="2"/>
      </rPr>
      <t>. )</t>
    </r>
  </si>
  <si>
    <t>The carbon footprint of plastic (LDPE or PET, poyethylene) is 6 kg CO2 per 1kg of plast</t>
  </si>
  <si>
    <t>Z odpadu</t>
  </si>
  <si>
    <t>Z odpadu Plast kg</t>
  </si>
  <si>
    <r>
      <t>Z odpadu Plast 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 xml:space="preserve"> kg</t>
    </r>
  </si>
  <si>
    <t>Doprava</t>
  </si>
  <si>
    <t>Cil</t>
  </si>
  <si>
    <r>
      <t>Production CO</t>
    </r>
    <r>
      <rPr>
        <i/>
        <vertAlign val="sub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 xml:space="preserve"> (Kg)</t>
    </r>
  </si>
  <si>
    <t>Zeme</t>
  </si>
  <si>
    <t>Energie</t>
  </si>
  <si>
    <t>rocne</t>
  </si>
  <si>
    <t>Cetnost</t>
  </si>
  <si>
    <t>Ekokom</t>
  </si>
  <si>
    <t>ISPOP</t>
  </si>
  <si>
    <t>Povinna evidence odpadu</t>
  </si>
  <si>
    <t>kvartalne</t>
  </si>
  <si>
    <t>mesicne</t>
  </si>
  <si>
    <t>Obaly</t>
  </si>
  <si>
    <t>Koeficienty</t>
  </si>
  <si>
    <t>Ostatní</t>
  </si>
  <si>
    <t>Voda</t>
  </si>
  <si>
    <t>Tab Odpady A, Evidenta ISPOP</t>
  </si>
  <si>
    <t>Tab Odpady C,</t>
  </si>
  <si>
    <t>Tab Odpady D, % Tuny</t>
  </si>
  <si>
    <t>Evidence odpadu</t>
  </si>
  <si>
    <t>Baterie</t>
  </si>
  <si>
    <t>Produkce (tuny)</t>
  </si>
  <si>
    <t>Podíl  odeslane hmotnosti</t>
  </si>
  <si>
    <t>Záložka</t>
  </si>
  <si>
    <t>z 1 kg čerstvého dřeva se spálením, nebo rozkladem uvolní 0.2*3= 0.6 kg CO2.</t>
  </si>
  <si>
    <t>600kg</t>
  </si>
  <si>
    <t xml:space="preserve">Auditujeme na rocni bazi. </t>
  </si>
  <si>
    <t>Dilna dodavatel fakturace ON /</t>
  </si>
  <si>
    <t>Emisni soucinitele</t>
  </si>
  <si>
    <t>Klimatizace</t>
  </si>
  <si>
    <t>1T - 600kg CO2</t>
  </si>
  <si>
    <t>MWh</t>
  </si>
  <si>
    <t>Inbound</t>
  </si>
  <si>
    <t>vlozit dalsi</t>
  </si>
  <si>
    <t>CZ kg</t>
  </si>
  <si>
    <t>* Mene km v aute</t>
  </si>
  <si>
    <t>* Fotovoltaika</t>
  </si>
  <si>
    <t>Flotila jiné</t>
  </si>
  <si>
    <t>Obaly pro CR</t>
  </si>
  <si>
    <r>
      <t>Obaly Papir 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 xml:space="preserve"> kg</t>
    </r>
  </si>
  <si>
    <r>
      <t>Obaly Plast 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 xml:space="preserve"> kg</t>
    </r>
  </si>
  <si>
    <r>
      <t>Energie C0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kg</t>
    </r>
  </si>
  <si>
    <t>Obaly Papir Kg Ekokom</t>
  </si>
  <si>
    <r>
      <t>Bez Exportu Obaly - emise CO</t>
    </r>
    <r>
      <rPr>
        <b/>
        <vertAlign val="subscript"/>
        <sz val="11"/>
        <rFont val="Calibri"/>
        <family val="2"/>
        <scheme val="minor"/>
      </rPr>
      <t>2</t>
    </r>
  </si>
  <si>
    <r>
      <t>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 xml:space="preserve"> Podil prepravy</t>
    </r>
  </si>
  <si>
    <t>JE</t>
  </si>
  <si>
    <r>
      <t>Soucinitel- emise CO</t>
    </r>
    <r>
      <rPr>
        <vertAlign val="subscript"/>
        <sz val="11"/>
        <color theme="3" tint="-0.499984740745262"/>
        <rFont val="Calibri"/>
        <family val="2"/>
        <scheme val="minor"/>
      </rPr>
      <t>2</t>
    </r>
  </si>
  <si>
    <t>Koef. Energie kg/MWh CR</t>
  </si>
  <si>
    <r>
      <t>Soucinitel - emise CO</t>
    </r>
    <r>
      <rPr>
        <i/>
        <vertAlign val="subscript"/>
        <sz val="11"/>
        <color rgb="FF7030A0"/>
        <rFont val="Calibri"/>
        <family val="2"/>
        <scheme val="minor"/>
      </rPr>
      <t>2</t>
    </r>
  </si>
  <si>
    <r>
      <t>koeficient kg CO</t>
    </r>
    <r>
      <rPr>
        <i/>
        <vertAlign val="subscript"/>
        <sz val="11"/>
        <color rgb="FF7030A0"/>
        <rFont val="Calibri"/>
        <family val="2"/>
        <scheme val="minor"/>
      </rPr>
      <t>2</t>
    </r>
  </si>
  <si>
    <t>Odpad</t>
  </si>
  <si>
    <t>Latě</t>
  </si>
  <si>
    <t>late x 1,6 x 50</t>
  </si>
  <si>
    <t>1 paleta</t>
  </si>
  <si>
    <t>kg (Tuny)</t>
  </si>
  <si>
    <t>Drevo kg Obaly + Odpady*1000</t>
  </si>
  <si>
    <t>VYKAZ Ekokom</t>
  </si>
  <si>
    <t>* Mesicni kontrola A, B, C</t>
  </si>
  <si>
    <t>Pocty kusu v baleni</t>
  </si>
  <si>
    <t>* Excel formula Compare: Mesicni nebo kvartalni kontrola sloupcu A, B, C a pridani novych obalu vuci tabulce z expedice</t>
  </si>
  <si>
    <t>Vozovy park sum</t>
  </si>
  <si>
    <t>Souhrn Drevo</t>
  </si>
  <si>
    <t>Emise z dopravy se na celkové produkci skleníkových plynů v Česku podílí z 15 procent, přitom v roce 1993 to bylo jen šest procent. Za stejnou dobu došlo k nárůstu celkových emisí z dopravy z 10,3 na 18,7 milionu tun ekvivalentu CO2. </t>
  </si>
  <si>
    <t>El. energie</t>
  </si>
  <si>
    <t>Dilna1</t>
  </si>
  <si>
    <t>Budova prefakturovany podil v pronajmu</t>
  </si>
  <si>
    <t xml:space="preserve"> Zajistime dokumentovany zpetny odber / napr. Ecobat.cz</t>
  </si>
  <si>
    <t>Cile *</t>
  </si>
  <si>
    <t>Obaly Plast kg Ekokom</t>
  </si>
  <si>
    <t>Odpady papir kg</t>
  </si>
  <si>
    <r>
      <t>Odpady Papir 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 xml:space="preserve"> kg</t>
    </r>
  </si>
  <si>
    <r>
      <t>Koef. - emise CO</t>
    </r>
    <r>
      <rPr>
        <i/>
        <vertAlign val="subscript"/>
        <sz val="11"/>
        <color rgb="FF7030A0"/>
        <rFont val="Calibri"/>
        <family val="2"/>
        <scheme val="minor"/>
      </rPr>
      <t>2</t>
    </r>
  </si>
  <si>
    <t>Tab D, Vypocet 1 procenta a nasobeni pomerem z kvalifikace</t>
  </si>
  <si>
    <t>* Sazeni 10 stromu</t>
  </si>
  <si>
    <t>* Uspornejsi osvetleni</t>
  </si>
  <si>
    <t>Vodne, stocne. Pausal / * Cil prumerna spotreba napr. 100 L na den 1 osoba.</t>
  </si>
  <si>
    <t>* Kogeneracni jednotka</t>
  </si>
  <si>
    <r>
      <t>* Cil 2022: snizit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o 2% na 1 kg expedovaneho produktu.</t>
    </r>
  </si>
  <si>
    <t>* Pouziti setrnejsiho baleni, zelene dopravy atp.</t>
  </si>
  <si>
    <t>https://asquare.cz/workshop</t>
  </si>
  <si>
    <t>15 % podle MŽP, nebo vlastni data z dopravy, pokud existuji, v ramci CR.</t>
  </si>
  <si>
    <t>Vez</t>
  </si>
  <si>
    <t>K az V link na zdroj Expedice</t>
  </si>
  <si>
    <t>Osvetleni</t>
  </si>
  <si>
    <t>CHART</t>
  </si>
  <si>
    <t>Hlavni tabulka</t>
  </si>
  <si>
    <t>GRAPHS</t>
  </si>
  <si>
    <t>Hlavni Graf</t>
  </si>
  <si>
    <t>Scope 1</t>
  </si>
  <si>
    <t>Scope 2</t>
  </si>
  <si>
    <t>Scope 3</t>
  </si>
  <si>
    <t>bude definovano</t>
  </si>
  <si>
    <t>Chart a Clear Path to Net Zero With 4 (Big) Steps (wsj.com)</t>
  </si>
  <si>
    <t>Pozvánku a přihlášku najdete na https://enviteam.cz/seminare/2023-06/pozvanka-uhlikova-stopa-podniku-a-vyrobku.pdf</t>
  </si>
  <si>
    <t>a rovněž na našich stránkách www.enviteam.cz</t>
  </si>
  <si>
    <r>
      <t>Výpočet produkce oxidu uhličitého - Uhlíková stopa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 xml:space="preserve"> </t>
    </r>
  </si>
  <si>
    <t>8AV</t>
  </si>
  <si>
    <t>AV</t>
  </si>
  <si>
    <t>17V</t>
  </si>
  <si>
    <t>najeto za rok 2022</t>
  </si>
  <si>
    <t>Tab zdroj 20/2/2023</t>
  </si>
  <si>
    <t>8AU</t>
  </si>
  <si>
    <t>8AH</t>
  </si>
  <si>
    <t>Tab zdroj 23/2/2024</t>
  </si>
  <si>
    <t>najeto za rok 2023</t>
  </si>
  <si>
    <t>3 2023</t>
  </si>
  <si>
    <t>4 2022</t>
  </si>
  <si>
    <t>5 2022</t>
  </si>
  <si>
    <t>6 2022</t>
  </si>
  <si>
    <t>7 2022</t>
  </si>
  <si>
    <t>8 2022</t>
  </si>
  <si>
    <t>9 2022</t>
  </si>
  <si>
    <t>10 2022</t>
  </si>
  <si>
    <t>11 2022</t>
  </si>
  <si>
    <t>12 2022</t>
  </si>
  <si>
    <t>1 2023</t>
  </si>
  <si>
    <t>2 2023</t>
  </si>
  <si>
    <t>4 2023</t>
  </si>
  <si>
    <t>5 2023</t>
  </si>
  <si>
    <t>6 2023</t>
  </si>
  <si>
    <t>7 2023</t>
  </si>
  <si>
    <t>8 2023</t>
  </si>
  <si>
    <t>9 2023</t>
  </si>
  <si>
    <t>10 2023</t>
  </si>
  <si>
    <t>11 2023</t>
  </si>
  <si>
    <t>12 2023</t>
  </si>
  <si>
    <t>2023 -Q1</t>
  </si>
  <si>
    <t>2023 -Q2</t>
  </si>
  <si>
    <t>2023 -Q3</t>
  </si>
  <si>
    <t>2023 -Q4</t>
  </si>
  <si>
    <t>2022 -Q2</t>
  </si>
  <si>
    <t>2022 -Q3</t>
  </si>
  <si>
    <t>2022 -Q4</t>
  </si>
  <si>
    <t>Estimate % 2022</t>
  </si>
  <si>
    <t>Estimate % 2023</t>
  </si>
  <si>
    <t>CZ 2022</t>
  </si>
  <si>
    <t>CZ 2023</t>
  </si>
  <si>
    <r>
      <t>Leasing nebo vlastní report se spotrebou pohonnych hmot, najetych km, emisni tridy s vypoctem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. Vypocet zvlast od dopravy.</t>
    </r>
  </si>
  <si>
    <t>Podil expedice v tunach</t>
  </si>
  <si>
    <t>14-16</t>
  </si>
  <si>
    <t>Redistribuce</t>
  </si>
  <si>
    <t>Tab A, Hodnoty z vlastni evidence odpadu, pripadne evidenty ISPOP</t>
  </si>
  <si>
    <t>Tab C, Odhad na zaklade mereni namátkou každý rok, kolik % zbozi zustava zabaleno v puvodnich obalech. Rekvalifikace</t>
  </si>
  <si>
    <t>Tab B, Dodavatele zbozi rozdeleni na CR, import: EU a ostatní.</t>
  </si>
  <si>
    <t>Tab E, Hmotnost obalu zbozi distribuovane na trh v puvodnim baleni, s novu kryci folii. Do emisi v tomto navodu pocitame pouze CR.</t>
  </si>
  <si>
    <t>Nakoupene baleni / hmotnost  / Sledovano na vystupu / z expedice. (Vzor: zadne obchodni, ani napojove nebo kompozitni obaly).</t>
  </si>
  <si>
    <t>Pocitano na zaklade odpadu. Zbozi v puvodnich obalech, preposilane nerozbalene</t>
  </si>
  <si>
    <r>
      <t>Excel pouze za ucelem vypoctu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v ramci CR</t>
    </r>
  </si>
  <si>
    <t>System sberu a recyklace obalu. Upozorneni: Tento excel neni navodem na plneni povinnosti vyplyvajici z obalove legislativy, obaly puvodem z CR se v systemu neeviduji (2024), dovezene ze zahranici, ktere konci v odpadu se eviduji</t>
  </si>
  <si>
    <t>Evidenta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</si>
</sst>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.00\ &quot;Kč&quot;_-;\-* #,##0.00\ &quot;Kč&quot;_-;_-* &quot;-&quot;??\ &quot;Kč&quot;_-;_-@_-"/>
    <numFmt numFmtId="165" formatCode="0.000"/>
    <numFmt numFmtId="166" formatCode="0.0"/>
    <numFmt numFmtId="167" formatCode="0.0000"/>
    <numFmt numFmtId="168" formatCode="_(* #,##0.000_);_(* \(#,##0.000\);_(* &quot;-&quot;??_);_(@_)"/>
  </numFmts>
  <fonts count="10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10"/>
      <color indexed="8"/>
      <name val="Tahoma"/>
      <family val="2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10"/>
      <name val="MS Sans Serif"/>
      <family val="2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4"/>
      <name val="Calibri"/>
      <family val="2"/>
      <scheme val="minor"/>
    </font>
    <font>
      <sz val="10"/>
      <name val="Arial"/>
      <family val="2"/>
    </font>
    <font>
      <sz val="10"/>
      <name val="Arial 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i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vertAlign val="subscript"/>
      <sz val="11"/>
      <color theme="0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b/>
      <i/>
      <vertAlign val="subscript"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rgb="FF4D4D4D"/>
      <name val="Arial Narrow"/>
      <family val="2"/>
    </font>
    <font>
      <u/>
      <sz val="9.9"/>
      <color theme="10"/>
      <name val="Calibri"/>
      <family val="2"/>
    </font>
    <font>
      <i/>
      <sz val="11"/>
      <color rgb="FF7030A0"/>
      <name val="Calibri"/>
      <family val="2"/>
      <scheme val="minor"/>
    </font>
    <font>
      <i/>
      <vertAlign val="subscript"/>
      <sz val="11"/>
      <color rgb="FF7030A0"/>
      <name val="Calibri"/>
      <family val="2"/>
      <scheme val="minor"/>
    </font>
    <font>
      <b/>
      <sz val="8"/>
      <name val="Calibri"/>
      <family val="2"/>
      <scheme val="minor"/>
    </font>
    <font>
      <b/>
      <i/>
      <sz val="12"/>
      <name val="Calibri"/>
      <family val="2"/>
      <scheme val="minor"/>
    </font>
    <font>
      <sz val="8"/>
      <name val="Calibri"/>
      <family val="2"/>
      <scheme val="minor"/>
    </font>
    <font>
      <i/>
      <sz val="12"/>
      <name val="Calibri"/>
      <family val="2"/>
      <scheme val="minor"/>
    </font>
    <font>
      <i/>
      <sz val="9"/>
      <name val="Calibri"/>
      <family val="2"/>
    </font>
    <font>
      <i/>
      <sz val="11"/>
      <name val="Calibri"/>
      <family val="2"/>
    </font>
    <font>
      <sz val="14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u/>
      <sz val="7.7"/>
      <color theme="10"/>
      <name val="Calibri"/>
      <family val="2"/>
      <charset val="238"/>
    </font>
    <font>
      <b/>
      <sz val="14"/>
      <name val="Calibri"/>
      <family val="2"/>
      <charset val="238"/>
      <scheme val="minor"/>
    </font>
    <font>
      <b/>
      <sz val="10"/>
      <color rgb="FF666666"/>
      <name val="Arial"/>
      <family val="2"/>
    </font>
    <font>
      <sz val="14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color theme="0"/>
      <name val="Calibri"/>
      <family val="2"/>
      <scheme val="minor"/>
    </font>
    <font>
      <sz val="14"/>
      <color rgb="FF00B05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i/>
      <sz val="11"/>
      <color theme="0" tint="-0.499984740745262"/>
      <name val="Calibri"/>
      <family val="2"/>
      <scheme val="minor"/>
    </font>
    <font>
      <b/>
      <sz val="14"/>
      <color indexed="8"/>
      <name val="Calibri"/>
      <family val="2"/>
    </font>
    <font>
      <sz val="11"/>
      <color theme="3" tint="-0.499984740745262"/>
      <name val="Calibri"/>
      <family val="2"/>
      <scheme val="minor"/>
    </font>
    <font>
      <vertAlign val="subscript"/>
      <sz val="11"/>
      <color theme="3" tint="-0.499984740745262"/>
      <name val="Calibri"/>
      <family val="2"/>
      <scheme val="minor"/>
    </font>
    <font>
      <b/>
      <vertAlign val="subscript"/>
      <sz val="11"/>
      <color theme="0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12"/>
      <name val="Calibri"/>
      <family val="2"/>
      <scheme val="minor"/>
    </font>
    <font>
      <b/>
      <i/>
      <sz val="12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b/>
      <sz val="11"/>
      <color theme="1" tint="0.249977111117893"/>
      <name val="Arial Narrow"/>
      <family val="2"/>
    </font>
    <font>
      <sz val="11"/>
      <color theme="1" tint="0.249977111117893"/>
      <name val="Arial Narrow"/>
      <family val="2"/>
    </font>
    <font>
      <i/>
      <sz val="11"/>
      <color theme="1" tint="0.249977111117893"/>
      <name val="Arial Narrow"/>
      <family val="2"/>
    </font>
    <font>
      <u/>
      <sz val="11"/>
      <color theme="1" tint="0.249977111117893"/>
      <name val="Arial Narrow"/>
      <family val="2"/>
    </font>
    <font>
      <sz val="9"/>
      <color rgb="FF000000"/>
      <name val="Arial"/>
      <family val="2"/>
    </font>
    <font>
      <sz val="11"/>
      <name val="Times New Roman"/>
      <family val="1"/>
    </font>
    <font>
      <b/>
      <vertAlign val="subscript"/>
      <sz val="14"/>
      <color theme="1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2FC9FF"/>
        <bgColor indexed="64"/>
      </patternFill>
    </fill>
    <fill>
      <patternFill patternType="solid">
        <fgColor rgb="FFFFDE75"/>
        <bgColor indexed="64"/>
      </patternFill>
    </fill>
    <fill>
      <patternFill patternType="solid">
        <fgColor rgb="FFEDEBDF"/>
        <bgColor indexed="64"/>
      </patternFill>
    </fill>
    <fill>
      <patternFill patternType="solid">
        <fgColor rgb="FFFFAF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71">
    <xf numFmtId="0" fontId="0" fillId="0" borderId="0"/>
    <xf numFmtId="0" fontId="10" fillId="0" borderId="0" applyNumberFormat="0" applyFill="0" applyBorder="0" applyAlignment="0" applyProtection="0"/>
    <xf numFmtId="0" fontId="11" fillId="0" borderId="1" applyNumberFormat="0" applyFill="0" applyAlignment="0" applyProtection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14" fillId="2" borderId="0" applyNumberFormat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4" applyNumberFormat="0" applyAlignment="0" applyProtection="0"/>
    <xf numFmtId="0" fontId="18" fillId="6" borderId="5" applyNumberFormat="0" applyAlignment="0" applyProtection="0"/>
    <xf numFmtId="0" fontId="19" fillId="6" borderId="4" applyNumberFormat="0" applyAlignment="0" applyProtection="0"/>
    <xf numFmtId="0" fontId="20" fillId="0" borderId="6" applyNumberFormat="0" applyFill="0" applyAlignment="0" applyProtection="0"/>
    <xf numFmtId="0" fontId="21" fillId="7" borderId="7" applyNumberFormat="0" applyAlignment="0" applyProtection="0"/>
    <xf numFmtId="0" fontId="22" fillId="0" borderId="0" applyNumberFormat="0" applyFill="0" applyBorder="0" applyAlignment="0" applyProtection="0"/>
    <xf numFmtId="0" fontId="9" fillId="8" borderId="8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5" fillId="32" borderId="0" applyNumberFormat="0" applyBorder="0" applyAlignment="0" applyProtection="0"/>
    <xf numFmtId="4" fontId="28" fillId="34" borderId="0" applyNumberFormat="0" applyProtection="0">
      <alignment horizontal="left" wrapText="1"/>
    </xf>
    <xf numFmtId="0" fontId="28" fillId="34" borderId="0" applyNumberFormat="0" applyProtection="0">
      <alignment horizontal="right" vertical="center" wrapText="1"/>
    </xf>
    <xf numFmtId="4" fontId="28" fillId="0" borderId="12" applyNumberFormat="0" applyProtection="0">
      <alignment vertical="center"/>
    </xf>
    <xf numFmtId="4" fontId="28" fillId="0" borderId="12" applyNumberFormat="0" applyProtection="0">
      <alignment vertical="center"/>
    </xf>
    <xf numFmtId="4" fontId="28" fillId="0" borderId="13" applyNumberFormat="0" applyProtection="0">
      <alignment horizontal="left" vertical="center" indent="1"/>
    </xf>
    <xf numFmtId="4" fontId="28" fillId="0" borderId="13" applyNumberFormat="0" applyProtection="0">
      <alignment vertical="center"/>
    </xf>
    <xf numFmtId="0" fontId="8" fillId="0" borderId="0"/>
    <xf numFmtId="0" fontId="7" fillId="0" borderId="0"/>
    <xf numFmtId="0" fontId="34" fillId="0" borderId="0"/>
    <xf numFmtId="0" fontId="6" fillId="0" borderId="0"/>
    <xf numFmtId="0" fontId="5" fillId="0" borderId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49" fillId="12" borderId="0" applyNumberFormat="0" applyBorder="0" applyAlignment="0" applyProtection="0"/>
    <xf numFmtId="0" fontId="49" fillId="16" borderId="0" applyNumberFormat="0" applyBorder="0" applyAlignment="0" applyProtection="0"/>
    <xf numFmtId="0" fontId="49" fillId="20" borderId="0" applyNumberFormat="0" applyBorder="0" applyAlignment="0" applyProtection="0"/>
    <xf numFmtId="0" fontId="49" fillId="24" borderId="0" applyNumberFormat="0" applyBorder="0" applyAlignment="0" applyProtection="0"/>
    <xf numFmtId="0" fontId="49" fillId="28" borderId="0" applyNumberFormat="0" applyBorder="0" applyAlignment="0" applyProtection="0"/>
    <xf numFmtId="0" fontId="49" fillId="32" borderId="0" applyNumberFormat="0" applyBorder="0" applyAlignment="0" applyProtection="0"/>
    <xf numFmtId="0" fontId="49" fillId="9" borderId="0" applyNumberFormat="0" applyBorder="0" applyAlignment="0" applyProtection="0"/>
    <xf numFmtId="0" fontId="49" fillId="13" borderId="0" applyNumberFormat="0" applyBorder="0" applyAlignment="0" applyProtection="0"/>
    <xf numFmtId="0" fontId="49" fillId="17" borderId="0" applyNumberFormat="0" applyBorder="0" applyAlignment="0" applyProtection="0"/>
    <xf numFmtId="0" fontId="49" fillId="21" borderId="0" applyNumberFormat="0" applyBorder="0" applyAlignment="0" applyProtection="0"/>
    <xf numFmtId="0" fontId="49" fillId="25" borderId="0" applyNumberFormat="0" applyBorder="0" applyAlignment="0" applyProtection="0"/>
    <xf numFmtId="0" fontId="49" fillId="29" borderId="0" applyNumberFormat="0" applyBorder="0" applyAlignment="0" applyProtection="0"/>
    <xf numFmtId="0" fontId="40" fillId="3" borderId="0" applyNumberFormat="0" applyBorder="0" applyAlignment="0" applyProtection="0"/>
    <xf numFmtId="0" fontId="44" fillId="6" borderId="4" applyNumberFormat="0" applyAlignment="0" applyProtection="0"/>
    <xf numFmtId="0" fontId="47" fillId="0" borderId="0" applyNumberFormat="0" applyFill="0" applyBorder="0" applyAlignment="0" applyProtection="0"/>
    <xf numFmtId="0" fontId="39" fillId="2" borderId="0" applyNumberFormat="0" applyBorder="0" applyAlignment="0" applyProtection="0"/>
    <xf numFmtId="0" fontId="36" fillId="0" borderId="1" applyNumberFormat="0" applyFill="0" applyAlignment="0" applyProtection="0"/>
    <xf numFmtId="0" fontId="37" fillId="0" borderId="2" applyNumberFormat="0" applyFill="0" applyAlignment="0" applyProtection="0"/>
    <xf numFmtId="0" fontId="38" fillId="0" borderId="3" applyNumberFormat="0" applyFill="0" applyAlignment="0" applyProtection="0"/>
    <xf numFmtId="0" fontId="38" fillId="0" borderId="0" applyNumberFormat="0" applyFill="0" applyBorder="0" applyAlignment="0" applyProtection="0"/>
    <xf numFmtId="0" fontId="46" fillId="7" borderId="7" applyNumberFormat="0" applyAlignment="0" applyProtection="0"/>
    <xf numFmtId="0" fontId="42" fillId="5" borderId="4" applyNumberFormat="0" applyAlignment="0" applyProtection="0"/>
    <xf numFmtId="0" fontId="45" fillId="0" borderId="6" applyNumberFormat="0" applyFill="0" applyAlignment="0" applyProtection="0"/>
    <xf numFmtId="0" fontId="41" fillId="4" borderId="0" applyNumberFormat="0" applyBorder="0" applyAlignment="0" applyProtection="0"/>
    <xf numFmtId="0" fontId="5" fillId="8" borderId="8" applyNumberFormat="0" applyFont="0" applyAlignment="0" applyProtection="0"/>
    <xf numFmtId="0" fontId="43" fillId="6" borderId="5" applyNumberFormat="0" applyAlignment="0" applyProtection="0"/>
    <xf numFmtId="0" fontId="35" fillId="0" borderId="0" applyNumberFormat="0" applyFill="0" applyBorder="0" applyAlignment="0" applyProtection="0"/>
    <xf numFmtId="0" fontId="48" fillId="0" borderId="9" applyNumberFormat="0" applyFill="0" applyAlignment="0" applyProtection="0"/>
    <xf numFmtId="0" fontId="33" fillId="0" borderId="0" applyNumberFormat="0" applyFill="0" applyBorder="0" applyAlignment="0" applyProtection="0"/>
    <xf numFmtId="0" fontId="26" fillId="0" borderId="0"/>
    <xf numFmtId="0" fontId="4" fillId="0" borderId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2" fillId="0" borderId="0"/>
    <xf numFmtId="0" fontId="53" fillId="0" borderId="0" applyNumberFormat="0" applyFill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53" fillId="0" borderId="15" applyNumberFormat="0" applyFill="0" applyProtection="0"/>
    <xf numFmtId="0" fontId="54" fillId="0" borderId="15" applyNumberFormat="0" applyFill="0" applyProtection="0"/>
    <xf numFmtId="0" fontId="2" fillId="0" borderId="0"/>
    <xf numFmtId="0" fontId="9" fillId="0" borderId="0"/>
    <xf numFmtId="0" fontId="10" fillId="0" borderId="0" applyNumberFormat="0" applyFill="0" applyBorder="0" applyAlignment="0" applyProtection="0"/>
    <xf numFmtId="0" fontId="11" fillId="0" borderId="1" applyNumberFormat="0" applyFill="0" applyAlignment="0" applyProtection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14" fillId="2" borderId="0" applyNumberFormat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4" applyNumberFormat="0" applyAlignment="0" applyProtection="0"/>
    <xf numFmtId="0" fontId="18" fillId="6" borderId="5" applyNumberFormat="0" applyAlignment="0" applyProtection="0"/>
    <xf numFmtId="0" fontId="19" fillId="6" borderId="4" applyNumberFormat="0" applyAlignment="0" applyProtection="0"/>
    <xf numFmtId="0" fontId="20" fillId="0" borderId="6" applyNumberFormat="0" applyFill="0" applyAlignment="0" applyProtection="0"/>
    <xf numFmtId="0" fontId="21" fillId="7" borderId="7" applyNumberFormat="0" applyAlignment="0" applyProtection="0"/>
    <xf numFmtId="0" fontId="22" fillId="0" borderId="0" applyNumberFormat="0" applyFill="0" applyBorder="0" applyAlignment="0" applyProtection="0"/>
    <xf numFmtId="0" fontId="9" fillId="8" borderId="8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5" fillId="32" borderId="0" applyNumberFormat="0" applyBorder="0" applyAlignment="0" applyProtection="0"/>
    <xf numFmtId="9" fontId="9" fillId="0" borderId="0" applyFont="0" applyFill="0" applyBorder="0" applyAlignment="0" applyProtection="0"/>
    <xf numFmtId="4" fontId="28" fillId="0" borderId="17" applyNumberFormat="0" applyProtection="0">
      <alignment horizontal="left" vertical="center" indent="1"/>
    </xf>
    <xf numFmtId="4" fontId="28" fillId="0" borderId="17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6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3" fillId="0" borderId="16" applyNumberFormat="0" applyFill="0" applyProtection="0"/>
    <xf numFmtId="0" fontId="54" fillId="0" borderId="16" applyNumberFormat="0" applyFill="0" applyProtection="0"/>
    <xf numFmtId="164" fontId="2" fillId="0" borderId="0" applyFont="0" applyFill="0" applyBorder="0" applyAlignment="0" applyProtection="0"/>
    <xf numFmtId="0" fontId="26" fillId="0" borderId="0"/>
    <xf numFmtId="0" fontId="57" fillId="0" borderId="0" applyNumberFormat="0" applyFill="0" applyBorder="0" applyAlignment="0" applyProtection="0">
      <alignment vertical="top"/>
      <protection locked="0"/>
    </xf>
    <xf numFmtId="4" fontId="28" fillId="0" borderId="36" applyNumberFormat="0" applyProtection="0">
      <alignment horizontal="left" vertical="center" indent="1"/>
    </xf>
    <xf numFmtId="4" fontId="28" fillId="0" borderId="36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" fontId="28" fillId="0" borderId="36" applyNumberFormat="0" applyProtection="0">
      <alignment horizontal="left" vertical="center" indent="1"/>
    </xf>
    <xf numFmtId="4" fontId="28" fillId="0" borderId="36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43" fontId="9" fillId="0" borderId="0" applyFont="0" applyFill="0" applyBorder="0" applyAlignment="0" applyProtection="0"/>
    <xf numFmtId="0" fontId="80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</cellStyleXfs>
  <cellXfs count="398">
    <xf numFmtId="0" fontId="0" fillId="0" borderId="0" xfId="0"/>
    <xf numFmtId="0" fontId="0" fillId="0" borderId="10" xfId="0" applyBorder="1" applyAlignment="1">
      <alignment horizontal="center"/>
    </xf>
    <xf numFmtId="0" fontId="24" fillId="0" borderId="0" xfId="0" applyFont="1"/>
    <xf numFmtId="49" fontId="0" fillId="0" borderId="0" xfId="0" applyNumberFormat="1"/>
    <xf numFmtId="0" fontId="24" fillId="0" borderId="10" xfId="0" applyFont="1" applyBorder="1"/>
    <xf numFmtId="0" fontId="27" fillId="0" borderId="0" xfId="0" applyFont="1"/>
    <xf numFmtId="0" fontId="31" fillId="0" borderId="0" xfId="0" applyFont="1"/>
    <xf numFmtId="0" fontId="57" fillId="0" borderId="0" xfId="197" applyAlignment="1" applyProtection="1"/>
    <xf numFmtId="0" fontId="58" fillId="0" borderId="0" xfId="0" applyFont="1"/>
    <xf numFmtId="166" fontId="0" fillId="0" borderId="0" xfId="0" applyNumberFormat="1"/>
    <xf numFmtId="1" fontId="0" fillId="0" borderId="0" xfId="0" applyNumberFormat="1"/>
    <xf numFmtId="1" fontId="31" fillId="0" borderId="0" xfId="0" applyNumberFormat="1" applyFont="1"/>
    <xf numFmtId="165" fontId="0" fillId="0" borderId="0" xfId="0" applyNumberFormat="1"/>
    <xf numFmtId="0" fontId="58" fillId="0" borderId="0" xfId="0" applyFont="1" applyAlignment="1">
      <alignment wrapText="1"/>
    </xf>
    <xf numFmtId="0" fontId="61" fillId="0" borderId="0" xfId="0" applyFont="1" applyAlignment="1">
      <alignment wrapText="1"/>
    </xf>
    <xf numFmtId="0" fontId="61" fillId="0" borderId="0" xfId="0" applyFont="1"/>
    <xf numFmtId="0" fontId="67" fillId="0" borderId="0" xfId="0" applyFont="1"/>
    <xf numFmtId="0" fontId="1" fillId="0" borderId="0" xfId="231"/>
    <xf numFmtId="0" fontId="31" fillId="0" borderId="10" xfId="0" applyFont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31" fillId="33" borderId="10" xfId="0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42" xfId="0" applyBorder="1" applyAlignment="1">
      <alignment horizontal="center"/>
    </xf>
    <xf numFmtId="0" fontId="24" fillId="0" borderId="28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4" fillId="0" borderId="40" xfId="0" applyFont="1" applyBorder="1" applyAlignment="1">
      <alignment horizontal="center"/>
    </xf>
    <xf numFmtId="0" fontId="24" fillId="33" borderId="40" xfId="0" applyFont="1" applyFill="1" applyBorder="1" applyAlignment="1">
      <alignment horizontal="center"/>
    </xf>
    <xf numFmtId="0" fontId="55" fillId="0" borderId="25" xfId="0" applyFont="1" applyBorder="1" applyAlignment="1">
      <alignment horizontal="left"/>
    </xf>
    <xf numFmtId="1" fontId="1" fillId="0" borderId="0" xfId="231" applyNumberFormat="1"/>
    <xf numFmtId="0" fontId="0" fillId="45" borderId="0" xfId="0" applyFill="1" applyAlignment="1">
      <alignment horizontal="center"/>
    </xf>
    <xf numFmtId="0" fontId="24" fillId="45" borderId="0" xfId="0" applyFont="1" applyFill="1" applyAlignment="1">
      <alignment horizontal="center" vertical="center" wrapText="1"/>
    </xf>
    <xf numFmtId="0" fontId="24" fillId="45" borderId="0" xfId="0" applyFont="1" applyFill="1" applyAlignment="1">
      <alignment horizontal="center"/>
    </xf>
    <xf numFmtId="0" fontId="22" fillId="45" borderId="0" xfId="0" applyFont="1" applyFill="1" applyAlignment="1">
      <alignment horizontal="center"/>
    </xf>
    <xf numFmtId="0" fontId="68" fillId="0" borderId="0" xfId="0" applyFont="1" applyAlignment="1">
      <alignment horizontal="left" vertical="center"/>
    </xf>
    <xf numFmtId="0" fontId="31" fillId="45" borderId="0" xfId="0" applyFont="1" applyFill="1" applyAlignment="1">
      <alignment horizontal="center"/>
    </xf>
    <xf numFmtId="0" fontId="31" fillId="0" borderId="30" xfId="0" applyFont="1" applyBorder="1" applyAlignment="1">
      <alignment horizontal="center"/>
    </xf>
    <xf numFmtId="0" fontId="31" fillId="0" borderId="41" xfId="0" applyFont="1" applyBorder="1" applyAlignment="1">
      <alignment horizontal="center"/>
    </xf>
    <xf numFmtId="0" fontId="30" fillId="0" borderId="41" xfId="0" applyFont="1" applyBorder="1" applyAlignment="1">
      <alignment horizontal="center" vertical="center" wrapText="1"/>
    </xf>
    <xf numFmtId="0" fontId="31" fillId="33" borderId="41" xfId="0" applyFont="1" applyFill="1" applyBorder="1" applyAlignment="1">
      <alignment horizontal="center"/>
    </xf>
    <xf numFmtId="0" fontId="30" fillId="0" borderId="28" xfId="0" applyFont="1" applyBorder="1" applyAlignment="1">
      <alignment horizontal="center"/>
    </xf>
    <xf numFmtId="0" fontId="24" fillId="0" borderId="42" xfId="0" applyFont="1" applyBorder="1" applyAlignment="1">
      <alignment horizontal="center"/>
    </xf>
    <xf numFmtId="0" fontId="22" fillId="45" borderId="0" xfId="0" applyFont="1" applyFill="1" applyAlignment="1">
      <alignment horizontal="left"/>
    </xf>
    <xf numFmtId="0" fontId="66" fillId="0" borderId="10" xfId="0" applyFont="1" applyBorder="1" applyAlignment="1">
      <alignment horizontal="center"/>
    </xf>
    <xf numFmtId="0" fontId="66" fillId="33" borderId="10" xfId="0" applyFont="1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33" borderId="41" xfId="0" applyFill="1" applyBorder="1" applyAlignment="1">
      <alignment horizontal="center"/>
    </xf>
    <xf numFmtId="0" fontId="24" fillId="0" borderId="44" xfId="0" applyFont="1" applyBorder="1" applyAlignment="1">
      <alignment horizontal="center"/>
    </xf>
    <xf numFmtId="0" fontId="31" fillId="0" borderId="11" xfId="0" applyFont="1" applyBorder="1" applyAlignment="1">
      <alignment horizontal="center"/>
    </xf>
    <xf numFmtId="0" fontId="66" fillId="0" borderId="11" xfId="0" applyFont="1" applyBorder="1" applyAlignment="1">
      <alignment horizontal="center"/>
    </xf>
    <xf numFmtId="0" fontId="0" fillId="0" borderId="45" xfId="0" applyBorder="1" applyAlignment="1">
      <alignment horizontal="center"/>
    </xf>
    <xf numFmtId="0" fontId="24" fillId="0" borderId="28" xfId="0" applyFont="1" applyBorder="1" applyAlignment="1">
      <alignment horizontal="left"/>
    </xf>
    <xf numFmtId="0" fontId="56" fillId="0" borderId="10" xfId="0" applyFont="1" applyBorder="1" applyAlignment="1">
      <alignment horizontal="left" vertical="center"/>
    </xf>
    <xf numFmtId="0" fontId="32" fillId="0" borderId="10" xfId="0" applyFont="1" applyBorder="1" applyAlignment="1">
      <alignment horizontal="center" vertical="center" wrapText="1"/>
    </xf>
    <xf numFmtId="0" fontId="0" fillId="47" borderId="0" xfId="0" applyFill="1"/>
    <xf numFmtId="0" fontId="24" fillId="44" borderId="0" xfId="0" applyFont="1" applyFill="1" applyAlignment="1">
      <alignment horizontal="center"/>
    </xf>
    <xf numFmtId="166" fontId="0" fillId="0" borderId="10" xfId="0" applyNumberFormat="1" applyBorder="1"/>
    <xf numFmtId="166" fontId="0" fillId="47" borderId="10" xfId="0" applyNumberFormat="1" applyFill="1" applyBorder="1"/>
    <xf numFmtId="1" fontId="0" fillId="47" borderId="10" xfId="0" applyNumberFormat="1" applyFill="1" applyBorder="1"/>
    <xf numFmtId="1" fontId="0" fillId="0" borderId="10" xfId="0" applyNumberFormat="1" applyBorder="1"/>
    <xf numFmtId="1" fontId="22" fillId="47" borderId="10" xfId="0" applyNumberFormat="1" applyFont="1" applyFill="1" applyBorder="1"/>
    <xf numFmtId="1" fontId="58" fillId="47" borderId="0" xfId="0" applyNumberFormat="1" applyFont="1" applyFill="1"/>
    <xf numFmtId="1" fontId="58" fillId="0" borderId="0" xfId="0" applyNumberFormat="1" applyFont="1"/>
    <xf numFmtId="0" fontId="24" fillId="39" borderId="14" xfId="0" applyFont="1" applyFill="1" applyBorder="1"/>
    <xf numFmtId="0" fontId="24" fillId="39" borderId="14" xfId="0" applyFont="1" applyFill="1" applyBorder="1" applyAlignment="1">
      <alignment horizontal="center"/>
    </xf>
    <xf numFmtId="0" fontId="24" fillId="39" borderId="37" xfId="0" applyFont="1" applyFill="1" applyBorder="1" applyAlignment="1">
      <alignment horizontal="center"/>
    </xf>
    <xf numFmtId="0" fontId="24" fillId="39" borderId="32" xfId="0" applyFont="1" applyFill="1" applyBorder="1" applyAlignment="1">
      <alignment horizontal="center"/>
    </xf>
    <xf numFmtId="0" fontId="24" fillId="39" borderId="26" xfId="0" applyFont="1" applyFill="1" applyBorder="1" applyAlignment="1">
      <alignment horizontal="center"/>
    </xf>
    <xf numFmtId="0" fontId="24" fillId="36" borderId="10" xfId="0" applyFont="1" applyFill="1" applyBorder="1"/>
    <xf numFmtId="0" fontId="70" fillId="0" borderId="0" xfId="0" applyFont="1"/>
    <xf numFmtId="0" fontId="72" fillId="0" borderId="38" xfId="0" applyFont="1" applyBorder="1" applyAlignment="1">
      <alignment horizontal="left"/>
    </xf>
    <xf numFmtId="0" fontId="72" fillId="0" borderId="10" xfId="0" applyFont="1" applyBorder="1" applyAlignment="1">
      <alignment horizontal="left"/>
    </xf>
    <xf numFmtId="0" fontId="62" fillId="0" borderId="10" xfId="0" applyFont="1" applyBorder="1"/>
    <xf numFmtId="0" fontId="30" fillId="0" borderId="10" xfId="0" applyFont="1" applyBorder="1"/>
    <xf numFmtId="49" fontId="72" fillId="0" borderId="10" xfId="0" applyNumberFormat="1" applyFont="1" applyBorder="1" applyAlignment="1">
      <alignment horizontal="left"/>
    </xf>
    <xf numFmtId="49" fontId="55" fillId="0" borderId="46" xfId="0" applyNumberFormat="1" applyFont="1" applyBorder="1" applyAlignment="1">
      <alignment horizontal="center"/>
    </xf>
    <xf numFmtId="0" fontId="73" fillId="0" borderId="10" xfId="0" applyFont="1" applyBorder="1" applyAlignment="1">
      <alignment horizontal="center" vertical="center"/>
    </xf>
    <xf numFmtId="49" fontId="55" fillId="0" borderId="10" xfId="0" applyNumberFormat="1" applyFont="1" applyBorder="1" applyAlignment="1">
      <alignment horizontal="center" vertical="center"/>
    </xf>
    <xf numFmtId="49" fontId="62" fillId="0" borderId="0" xfId="0" applyNumberFormat="1" applyFont="1"/>
    <xf numFmtId="0" fontId="55" fillId="0" borderId="10" xfId="0" applyFont="1" applyBorder="1"/>
    <xf numFmtId="0" fontId="74" fillId="0" borderId="38" xfId="0" applyFont="1" applyBorder="1" applyAlignment="1">
      <alignment horizontal="left"/>
    </xf>
    <xf numFmtId="0" fontId="73" fillId="0" borderId="10" xfId="0" applyFont="1" applyBorder="1"/>
    <xf numFmtId="0" fontId="73" fillId="0" borderId="10" xfId="0" applyFont="1" applyBorder="1" applyAlignment="1">
      <alignment horizontal="left"/>
    </xf>
    <xf numFmtId="0" fontId="75" fillId="0" borderId="10" xfId="0" applyFont="1" applyBorder="1"/>
    <xf numFmtId="0" fontId="62" fillId="0" borderId="10" xfId="0" applyFont="1" applyBorder="1" applyAlignment="1">
      <alignment horizontal="left"/>
    </xf>
    <xf numFmtId="0" fontId="55" fillId="0" borderId="10" xfId="0" applyFont="1" applyBorder="1" applyAlignment="1">
      <alignment vertical="top"/>
    </xf>
    <xf numFmtId="0" fontId="24" fillId="48" borderId="0" xfId="0" applyFont="1" applyFill="1"/>
    <xf numFmtId="0" fontId="0" fillId="48" borderId="0" xfId="0" applyFill="1"/>
    <xf numFmtId="165" fontId="0" fillId="47" borderId="0" xfId="0" applyNumberFormat="1" applyFill="1"/>
    <xf numFmtId="0" fontId="78" fillId="0" borderId="0" xfId="231" applyFont="1"/>
    <xf numFmtId="9" fontId="78" fillId="0" borderId="0" xfId="231" applyNumberFormat="1" applyFont="1" applyAlignment="1">
      <alignment horizontal="center"/>
    </xf>
    <xf numFmtId="0" fontId="82" fillId="0" borderId="0" xfId="231" applyFont="1"/>
    <xf numFmtId="0" fontId="78" fillId="0" borderId="10" xfId="231" applyFont="1" applyBorder="1"/>
    <xf numFmtId="0" fontId="78" fillId="0" borderId="10" xfId="269" applyFont="1" applyBorder="1"/>
    <xf numFmtId="0" fontId="79" fillId="0" borderId="10" xfId="269" applyFont="1" applyBorder="1"/>
    <xf numFmtId="165" fontId="79" fillId="0" borderId="10" xfId="269" applyNumberFormat="1" applyFont="1" applyBorder="1"/>
    <xf numFmtId="165" fontId="1" fillId="0" borderId="0" xfId="231" applyNumberFormat="1"/>
    <xf numFmtId="165" fontId="29" fillId="0" borderId="33" xfId="231" applyNumberFormat="1" applyFont="1" applyBorder="1"/>
    <xf numFmtId="165" fontId="78" fillId="0" borderId="33" xfId="231" applyNumberFormat="1" applyFont="1" applyBorder="1"/>
    <xf numFmtId="165" fontId="81" fillId="0" borderId="26" xfId="231" applyNumberFormat="1" applyFont="1" applyBorder="1"/>
    <xf numFmtId="0" fontId="78" fillId="0" borderId="18" xfId="231" applyFont="1" applyBorder="1"/>
    <xf numFmtId="165" fontId="78" fillId="0" borderId="20" xfId="231" applyNumberFormat="1" applyFont="1" applyBorder="1"/>
    <xf numFmtId="0" fontId="78" fillId="0" borderId="31" xfId="231" applyFont="1" applyBorder="1"/>
    <xf numFmtId="0" fontId="1" fillId="0" borderId="37" xfId="231" applyBorder="1"/>
    <xf numFmtId="165" fontId="29" fillId="0" borderId="26" xfId="231" applyNumberFormat="1" applyFont="1" applyBorder="1"/>
    <xf numFmtId="0" fontId="78" fillId="0" borderId="37" xfId="231" applyFont="1" applyBorder="1"/>
    <xf numFmtId="0" fontId="54" fillId="0" borderId="0" xfId="114" applyBorder="1"/>
    <xf numFmtId="0" fontId="29" fillId="45" borderId="29" xfId="0" applyFont="1" applyFill="1" applyBorder="1" applyAlignment="1">
      <alignment horizontal="left"/>
    </xf>
    <xf numFmtId="0" fontId="54" fillId="0" borderId="10" xfId="114" applyBorder="1" applyAlignment="1">
      <alignment horizontal="center"/>
    </xf>
    <xf numFmtId="0" fontId="54" fillId="0" borderId="0" xfId="114" applyBorder="1" applyAlignment="1">
      <alignment horizontal="center"/>
    </xf>
    <xf numFmtId="1" fontId="54" fillId="0" borderId="10" xfId="114" applyNumberFormat="1" applyBorder="1" applyAlignment="1">
      <alignment horizontal="center"/>
    </xf>
    <xf numFmtId="0" fontId="54" fillId="0" borderId="10" xfId="114" applyFill="1" applyBorder="1" applyAlignment="1">
      <alignment horizontal="center"/>
    </xf>
    <xf numFmtId="1" fontId="54" fillId="0" borderId="0" xfId="114" applyNumberFormat="1" applyBorder="1" applyAlignment="1">
      <alignment horizontal="center"/>
    </xf>
    <xf numFmtId="3" fontId="54" fillId="0" borderId="10" xfId="114" applyNumberFormat="1" applyFill="1" applyBorder="1" applyAlignment="1">
      <alignment horizontal="center"/>
    </xf>
    <xf numFmtId="3" fontId="54" fillId="0" borderId="10" xfId="114" applyNumberFormat="1" applyBorder="1" applyAlignment="1">
      <alignment horizontal="center"/>
    </xf>
    <xf numFmtId="0" fontId="1" fillId="0" borderId="0" xfId="231" applyAlignment="1">
      <alignment horizontal="center"/>
    </xf>
    <xf numFmtId="0" fontId="24" fillId="43" borderId="10" xfId="0" applyFont="1" applyFill="1" applyBorder="1" applyAlignment="1">
      <alignment horizontal="center" vertical="center" wrapText="1"/>
    </xf>
    <xf numFmtId="0" fontId="24" fillId="35" borderId="10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1" fontId="53" fillId="0" borderId="10" xfId="114" applyNumberFormat="1" applyFont="1" applyBorder="1" applyAlignment="1">
      <alignment horizontal="center"/>
    </xf>
    <xf numFmtId="1" fontId="91" fillId="0" borderId="10" xfId="114" applyNumberFormat="1" applyFont="1" applyBorder="1" applyAlignment="1">
      <alignment horizontal="center"/>
    </xf>
    <xf numFmtId="166" fontId="50" fillId="0" borderId="14" xfId="0" applyNumberFormat="1" applyFont="1" applyBorder="1" applyAlignment="1">
      <alignment horizontal="center"/>
    </xf>
    <xf numFmtId="166" fontId="29" fillId="0" borderId="14" xfId="0" applyNumberFormat="1" applyFont="1" applyBorder="1" applyAlignment="1">
      <alignment horizontal="center"/>
    </xf>
    <xf numFmtId="0" fontId="29" fillId="0" borderId="31" xfId="231" applyFont="1" applyBorder="1"/>
    <xf numFmtId="165" fontId="29" fillId="0" borderId="41" xfId="231" applyNumberFormat="1" applyFont="1" applyBorder="1" applyAlignment="1">
      <alignment horizontal="center" vertical="center"/>
    </xf>
    <xf numFmtId="0" fontId="86" fillId="0" borderId="0" xfId="231" applyFont="1" applyAlignment="1">
      <alignment horizontal="left" vertical="center"/>
    </xf>
    <xf numFmtId="165" fontId="84" fillId="0" borderId="41" xfId="231" applyNumberFormat="1" applyFont="1" applyBorder="1" applyAlignment="1">
      <alignment horizontal="center" vertical="center"/>
    </xf>
    <xf numFmtId="0" fontId="78" fillId="0" borderId="18" xfId="231" applyFont="1" applyBorder="1" applyAlignment="1">
      <alignment horizontal="center" vertical="center"/>
    </xf>
    <xf numFmtId="0" fontId="78" fillId="0" borderId="31" xfId="231" applyFont="1" applyBorder="1" applyAlignment="1">
      <alignment horizontal="center" vertical="center"/>
    </xf>
    <xf numFmtId="0" fontId="78" fillId="0" borderId="21" xfId="231" applyFont="1" applyBorder="1" applyAlignment="1">
      <alignment horizontal="center" vertical="center"/>
    </xf>
    <xf numFmtId="165" fontId="1" fillId="0" borderId="41" xfId="231" applyNumberFormat="1" applyBorder="1" applyAlignment="1">
      <alignment horizontal="center" vertical="center"/>
    </xf>
    <xf numFmtId="0" fontId="1" fillId="0" borderId="0" xfId="231" applyAlignment="1">
      <alignment horizontal="center" vertical="center"/>
    </xf>
    <xf numFmtId="0" fontId="78" fillId="0" borderId="19" xfId="231" applyFont="1" applyBorder="1" applyAlignment="1">
      <alignment horizontal="center" vertical="center"/>
    </xf>
    <xf numFmtId="0" fontId="1" fillId="0" borderId="20" xfId="231" applyBorder="1" applyAlignment="1">
      <alignment horizontal="center" vertical="center"/>
    </xf>
    <xf numFmtId="0" fontId="1" fillId="0" borderId="40" xfId="231" applyBorder="1" applyAlignment="1">
      <alignment horizontal="center" vertical="center"/>
    </xf>
    <xf numFmtId="0" fontId="78" fillId="0" borderId="10" xfId="231" applyFont="1" applyBorder="1" applyAlignment="1">
      <alignment horizontal="center" vertical="center"/>
    </xf>
    <xf numFmtId="0" fontId="78" fillId="36" borderId="10" xfId="231" applyFont="1" applyFill="1" applyBorder="1" applyAlignment="1">
      <alignment horizontal="center" vertical="center"/>
    </xf>
    <xf numFmtId="0" fontId="78" fillId="38" borderId="10" xfId="231" applyFont="1" applyFill="1" applyBorder="1" applyAlignment="1">
      <alignment horizontal="center" vertical="center"/>
    </xf>
    <xf numFmtId="0" fontId="1" fillId="0" borderId="41" xfId="231" applyBorder="1" applyAlignment="1">
      <alignment horizontal="center" vertical="center"/>
    </xf>
    <xf numFmtId="165" fontId="78" fillId="0" borderId="10" xfId="231" applyNumberFormat="1" applyFont="1" applyBorder="1" applyAlignment="1">
      <alignment horizontal="center" vertical="center"/>
    </xf>
    <xf numFmtId="9" fontId="1" fillId="0" borderId="0" xfId="231" applyNumberFormat="1" applyAlignment="1">
      <alignment horizontal="center" vertical="center"/>
    </xf>
    <xf numFmtId="0" fontId="1" fillId="0" borderId="27" xfId="231" applyBorder="1" applyAlignment="1">
      <alignment horizontal="center" vertical="center"/>
    </xf>
    <xf numFmtId="9" fontId="29" fillId="0" borderId="42" xfId="231" applyNumberFormat="1" applyFont="1" applyBorder="1" applyAlignment="1">
      <alignment horizontal="center" vertical="center"/>
    </xf>
    <xf numFmtId="165" fontId="50" fillId="0" borderId="42" xfId="231" applyNumberFormat="1" applyFont="1" applyBorder="1" applyAlignment="1">
      <alignment horizontal="center" vertical="center"/>
    </xf>
    <xf numFmtId="0" fontId="1" fillId="0" borderId="28" xfId="231" applyBorder="1" applyAlignment="1">
      <alignment horizontal="center" vertical="center"/>
    </xf>
    <xf numFmtId="0" fontId="29" fillId="0" borderId="53" xfId="231" applyFont="1" applyBorder="1" applyAlignment="1">
      <alignment horizontal="center" vertical="center"/>
    </xf>
    <xf numFmtId="0" fontId="78" fillId="0" borderId="26" xfId="231" applyFont="1" applyBorder="1" applyAlignment="1">
      <alignment horizontal="center" vertical="center"/>
    </xf>
    <xf numFmtId="0" fontId="84" fillId="0" borderId="0" xfId="231" applyFont="1" applyAlignment="1">
      <alignment horizontal="center" vertical="center"/>
    </xf>
    <xf numFmtId="0" fontId="78" fillId="0" borderId="33" xfId="231" applyFont="1" applyBorder="1" applyAlignment="1">
      <alignment horizontal="center" vertical="center"/>
    </xf>
    <xf numFmtId="0" fontId="78" fillId="0" borderId="0" xfId="231" applyFont="1" applyAlignment="1">
      <alignment horizontal="center" vertical="center"/>
    </xf>
    <xf numFmtId="167" fontId="84" fillId="0" borderId="0" xfId="231" applyNumberFormat="1" applyFont="1" applyAlignment="1">
      <alignment horizontal="center" vertical="center"/>
    </xf>
    <xf numFmtId="2" fontId="84" fillId="0" borderId="31" xfId="231" applyNumberFormat="1" applyFont="1" applyBorder="1" applyAlignment="1">
      <alignment horizontal="center" vertical="center"/>
    </xf>
    <xf numFmtId="9" fontId="83" fillId="0" borderId="10" xfId="231" applyNumberFormat="1" applyFont="1" applyBorder="1" applyAlignment="1">
      <alignment horizontal="center" vertical="center"/>
    </xf>
    <xf numFmtId="0" fontId="83" fillId="0" borderId="41" xfId="231" applyFont="1" applyBorder="1" applyAlignment="1">
      <alignment horizontal="center" vertical="center"/>
    </xf>
    <xf numFmtId="0" fontId="79" fillId="0" borderId="46" xfId="231" applyFont="1" applyBorder="1" applyAlignment="1">
      <alignment horizontal="center" vertical="center"/>
    </xf>
    <xf numFmtId="0" fontId="78" fillId="0" borderId="50" xfId="231" applyFont="1" applyBorder="1" applyAlignment="1">
      <alignment horizontal="center" vertical="center"/>
    </xf>
    <xf numFmtId="165" fontId="78" fillId="0" borderId="0" xfId="231" applyNumberFormat="1" applyFont="1" applyAlignment="1">
      <alignment horizontal="center" vertical="center"/>
    </xf>
    <xf numFmtId="0" fontId="78" fillId="0" borderId="51" xfId="231" applyFont="1" applyBorder="1" applyAlignment="1">
      <alignment horizontal="center" vertical="center"/>
    </xf>
    <xf numFmtId="0" fontId="78" fillId="0" borderId="54" xfId="231" applyFont="1" applyBorder="1" applyAlignment="1">
      <alignment horizontal="center" vertical="center"/>
    </xf>
    <xf numFmtId="0" fontId="79" fillId="0" borderId="14" xfId="231" applyFont="1" applyBorder="1" applyAlignment="1">
      <alignment horizontal="center" vertical="center"/>
    </xf>
    <xf numFmtId="0" fontId="78" fillId="0" borderId="33" xfId="231" applyFont="1" applyBorder="1" applyAlignment="1">
      <alignment horizontal="center" vertical="center" wrapText="1"/>
    </xf>
    <xf numFmtId="0" fontId="78" fillId="0" borderId="0" xfId="231" applyFont="1" applyAlignment="1">
      <alignment horizontal="center" vertical="center" wrapText="1"/>
    </xf>
    <xf numFmtId="0" fontId="79" fillId="0" borderId="0" xfId="231" applyFont="1" applyAlignment="1">
      <alignment horizontal="center" vertical="center"/>
    </xf>
    <xf numFmtId="0" fontId="78" fillId="0" borderId="20" xfId="231" applyFont="1" applyBorder="1" applyAlignment="1">
      <alignment horizontal="center" vertical="center"/>
    </xf>
    <xf numFmtId="0" fontId="81" fillId="42" borderId="14" xfId="231" applyFont="1" applyFill="1" applyBorder="1" applyAlignment="1">
      <alignment horizontal="center" vertical="center"/>
    </xf>
    <xf numFmtId="0" fontId="87" fillId="37" borderId="14" xfId="231" applyFont="1" applyFill="1" applyBorder="1" applyAlignment="1">
      <alignment horizontal="center" vertical="center"/>
    </xf>
    <xf numFmtId="0" fontId="88" fillId="0" borderId="23" xfId="231" applyFont="1" applyBorder="1" applyAlignment="1">
      <alignment horizontal="center" vertical="center"/>
    </xf>
    <xf numFmtId="0" fontId="88" fillId="0" borderId="0" xfId="231" applyFont="1" applyAlignment="1">
      <alignment horizontal="center" vertical="center"/>
    </xf>
    <xf numFmtId="0" fontId="89" fillId="42" borderId="14" xfId="231" applyFont="1" applyFill="1" applyBorder="1" applyAlignment="1">
      <alignment horizontal="center" vertical="center"/>
    </xf>
    <xf numFmtId="0" fontId="1" fillId="0" borderId="21" xfId="231" applyBorder="1" applyAlignment="1">
      <alignment horizontal="center" vertical="center"/>
    </xf>
    <xf numFmtId="9" fontId="1" fillId="0" borderId="22" xfId="231" applyNumberFormat="1" applyBorder="1" applyAlignment="1">
      <alignment horizontal="center" vertical="center"/>
    </xf>
    <xf numFmtId="0" fontId="1" fillId="0" borderId="23" xfId="231" applyBorder="1" applyAlignment="1">
      <alignment horizontal="center" vertical="center"/>
    </xf>
    <xf numFmtId="0" fontId="89" fillId="42" borderId="32" xfId="231" applyFont="1" applyFill="1" applyBorder="1" applyAlignment="1">
      <alignment horizontal="center" vertical="center"/>
    </xf>
    <xf numFmtId="0" fontId="89" fillId="37" borderId="14" xfId="231" applyFont="1" applyFill="1" applyBorder="1" applyAlignment="1">
      <alignment horizontal="center" vertical="center"/>
    </xf>
    <xf numFmtId="0" fontId="88" fillId="0" borderId="26" xfId="231" applyFont="1" applyBorder="1" applyAlignment="1">
      <alignment horizontal="center" vertical="center"/>
    </xf>
    <xf numFmtId="0" fontId="66" fillId="0" borderId="0" xfId="231" applyFont="1" applyAlignment="1">
      <alignment horizontal="center" vertical="center"/>
    </xf>
    <xf numFmtId="165" fontId="90" fillId="0" borderId="0" xfId="231" applyNumberFormat="1" applyFont="1" applyAlignment="1">
      <alignment horizontal="center" vertical="center"/>
    </xf>
    <xf numFmtId="0" fontId="90" fillId="0" borderId="0" xfId="231" applyFont="1" applyAlignment="1">
      <alignment horizontal="center" vertical="center"/>
    </xf>
    <xf numFmtId="0" fontId="78" fillId="0" borderId="37" xfId="231" applyFont="1" applyBorder="1" applyAlignment="1">
      <alignment horizontal="left" vertical="center"/>
    </xf>
    <xf numFmtId="0" fontId="78" fillId="0" borderId="19" xfId="231" applyFont="1" applyBorder="1" applyAlignment="1">
      <alignment horizontal="left" vertical="center"/>
    </xf>
    <xf numFmtId="0" fontId="78" fillId="0" borderId="18" xfId="231" applyFont="1" applyBorder="1" applyAlignment="1">
      <alignment horizontal="left" vertical="center"/>
    </xf>
    <xf numFmtId="0" fontId="83" fillId="0" borderId="0" xfId="231" applyFont="1" applyAlignment="1">
      <alignment horizontal="left" vertical="center"/>
    </xf>
    <xf numFmtId="165" fontId="0" fillId="0" borderId="10" xfId="0" applyNumberFormat="1" applyBorder="1"/>
    <xf numFmtId="0" fontId="78" fillId="0" borderId="0" xfId="231" applyFont="1" applyAlignment="1">
      <alignment horizontal="left" vertical="center"/>
    </xf>
    <xf numFmtId="0" fontId="78" fillId="0" borderId="11" xfId="231" applyFont="1" applyBorder="1" applyAlignment="1">
      <alignment horizontal="center" vertical="center"/>
    </xf>
    <xf numFmtId="165" fontId="29" fillId="0" borderId="25" xfId="231" applyNumberFormat="1" applyFont="1" applyBorder="1" applyAlignment="1">
      <alignment horizontal="center" vertical="center"/>
    </xf>
    <xf numFmtId="165" fontId="84" fillId="0" borderId="52" xfId="231" applyNumberFormat="1" applyFont="1" applyBorder="1" applyAlignment="1">
      <alignment horizontal="center" vertical="center"/>
    </xf>
    <xf numFmtId="0" fontId="84" fillId="0" borderId="37" xfId="231" applyFont="1" applyBorder="1" applyAlignment="1">
      <alignment horizontal="left" vertical="center"/>
    </xf>
    <xf numFmtId="0" fontId="1" fillId="0" borderId="32" xfId="231" applyBorder="1" applyAlignment="1">
      <alignment horizontal="center" vertical="center"/>
    </xf>
    <xf numFmtId="0" fontId="1" fillId="0" borderId="26" xfId="231" applyBorder="1" applyAlignment="1">
      <alignment horizontal="center" vertical="center"/>
    </xf>
    <xf numFmtId="0" fontId="83" fillId="0" borderId="10" xfId="231" applyFont="1" applyBorder="1" applyAlignment="1">
      <alignment horizontal="left" vertical="center"/>
    </xf>
    <xf numFmtId="0" fontId="1" fillId="0" borderId="10" xfId="231" applyBorder="1" applyAlignment="1">
      <alignment horizontal="left" vertical="center"/>
    </xf>
    <xf numFmtId="0" fontId="24" fillId="0" borderId="10" xfId="231" applyFont="1" applyBorder="1" applyAlignment="1">
      <alignment horizontal="left" vertical="center"/>
    </xf>
    <xf numFmtId="9" fontId="1" fillId="0" borderId="10" xfId="231" applyNumberFormat="1" applyBorder="1" applyAlignment="1">
      <alignment horizontal="left" vertical="center"/>
    </xf>
    <xf numFmtId="0" fontId="24" fillId="39" borderId="18" xfId="0" applyFont="1" applyFill="1" applyBorder="1" applyAlignment="1">
      <alignment horizontal="center"/>
    </xf>
    <xf numFmtId="0" fontId="29" fillId="0" borderId="0" xfId="0" applyFont="1"/>
    <xf numFmtId="165" fontId="84" fillId="0" borderId="0" xfId="0" applyNumberFormat="1" applyFont="1"/>
    <xf numFmtId="0" fontId="24" fillId="0" borderId="11" xfId="0" applyFont="1" applyBorder="1"/>
    <xf numFmtId="165" fontId="0" fillId="0" borderId="47" xfId="0" applyNumberFormat="1" applyBorder="1" applyAlignment="1">
      <alignment horizontal="center"/>
    </xf>
    <xf numFmtId="165" fontId="0" fillId="0" borderId="48" xfId="0" applyNumberFormat="1" applyBorder="1" applyAlignment="1">
      <alignment horizontal="center"/>
    </xf>
    <xf numFmtId="165" fontId="0" fillId="0" borderId="49" xfId="0" applyNumberFormat="1" applyBorder="1" applyAlignment="1">
      <alignment horizontal="center"/>
    </xf>
    <xf numFmtId="165" fontId="0" fillId="0" borderId="24" xfId="0" applyNumberFormat="1" applyBorder="1" applyAlignment="1">
      <alignment horizontal="center"/>
    </xf>
    <xf numFmtId="165" fontId="0" fillId="0" borderId="43" xfId="0" applyNumberFormat="1" applyBorder="1" applyAlignment="1">
      <alignment horizontal="center"/>
    </xf>
    <xf numFmtId="165" fontId="0" fillId="0" borderId="38" xfId="0" applyNumberFormat="1" applyBorder="1" applyAlignment="1">
      <alignment horizontal="center"/>
    </xf>
    <xf numFmtId="0" fontId="24" fillId="0" borderId="50" xfId="0" applyFont="1" applyBorder="1"/>
    <xf numFmtId="0" fontId="24" fillId="0" borderId="24" xfId="0" applyFont="1" applyBorder="1"/>
    <xf numFmtId="0" fontId="24" fillId="38" borderId="10" xfId="0" applyFont="1" applyFill="1" applyBorder="1"/>
    <xf numFmtId="0" fontId="24" fillId="41" borderId="10" xfId="0" applyFont="1" applyFill="1" applyBorder="1"/>
    <xf numFmtId="165" fontId="1" fillId="0" borderId="0" xfId="231" applyNumberFormat="1" applyAlignment="1">
      <alignment horizontal="center" vertical="center"/>
    </xf>
    <xf numFmtId="0" fontId="29" fillId="0" borderId="18" xfId="231" applyFont="1" applyBorder="1" applyAlignment="1">
      <alignment horizontal="center" vertical="center"/>
    </xf>
    <xf numFmtId="0" fontId="29" fillId="0" borderId="31" xfId="231" applyFont="1" applyBorder="1" applyAlignment="1">
      <alignment horizontal="center" vertical="center"/>
    </xf>
    <xf numFmtId="0" fontId="84" fillId="0" borderId="10" xfId="231" applyFont="1" applyBorder="1" applyAlignment="1">
      <alignment horizontal="center" vertical="center"/>
    </xf>
    <xf numFmtId="0" fontId="29" fillId="0" borderId="10" xfId="231" applyFont="1" applyBorder="1" applyAlignment="1">
      <alignment horizontal="center" vertical="center"/>
    </xf>
    <xf numFmtId="165" fontId="84" fillId="38" borderId="10" xfId="231" applyNumberFormat="1" applyFont="1" applyFill="1" applyBorder="1" applyAlignment="1">
      <alignment horizontal="center" vertical="center"/>
    </xf>
    <xf numFmtId="165" fontId="29" fillId="38" borderId="10" xfId="231" applyNumberFormat="1" applyFont="1" applyFill="1" applyBorder="1" applyAlignment="1">
      <alignment horizontal="center" vertical="center"/>
    </xf>
    <xf numFmtId="0" fontId="29" fillId="36" borderId="10" xfId="231" applyFont="1" applyFill="1" applyBorder="1" applyAlignment="1">
      <alignment horizontal="center" vertical="center"/>
    </xf>
    <xf numFmtId="165" fontId="84" fillId="36" borderId="10" xfId="231" applyNumberFormat="1" applyFont="1" applyFill="1" applyBorder="1" applyAlignment="1">
      <alignment horizontal="center" vertical="center"/>
    </xf>
    <xf numFmtId="165" fontId="29" fillId="36" borderId="10" xfId="231" applyNumberFormat="1" applyFont="1" applyFill="1" applyBorder="1" applyAlignment="1">
      <alignment horizontal="center" vertical="center"/>
    </xf>
    <xf numFmtId="0" fontId="1" fillId="0" borderId="41" xfId="231" applyBorder="1" applyAlignment="1">
      <alignment horizontal="left" vertical="center"/>
    </xf>
    <xf numFmtId="0" fontId="0" fillId="39" borderId="0" xfId="0" applyFill="1"/>
    <xf numFmtId="0" fontId="27" fillId="39" borderId="0" xfId="0" applyFont="1" applyFill="1"/>
    <xf numFmtId="0" fontId="24" fillId="39" borderId="0" xfId="0" applyFont="1" applyFill="1"/>
    <xf numFmtId="0" fontId="58" fillId="39" borderId="0" xfId="0" applyFont="1" applyFill="1"/>
    <xf numFmtId="0" fontId="61" fillId="39" borderId="0" xfId="0" applyFont="1" applyFill="1"/>
    <xf numFmtId="0" fontId="67" fillId="39" borderId="0" xfId="0" applyFont="1" applyFill="1"/>
    <xf numFmtId="166" fontId="0" fillId="39" borderId="0" xfId="0" applyNumberFormat="1" applyFill="1"/>
    <xf numFmtId="49" fontId="50" fillId="39" borderId="10" xfId="0" applyNumberFormat="1" applyFont="1" applyFill="1" applyBorder="1" applyAlignment="1">
      <alignment horizontal="center"/>
    </xf>
    <xf numFmtId="49" fontId="50" fillId="39" borderId="10" xfId="0" applyNumberFormat="1" applyFont="1" applyFill="1" applyBorder="1" applyAlignment="1">
      <alignment horizontal="left"/>
    </xf>
    <xf numFmtId="49" fontId="50" fillId="39" borderId="0" xfId="0" applyNumberFormat="1" applyFont="1" applyFill="1"/>
    <xf numFmtId="0" fontId="1" fillId="0" borderId="22" xfId="231" applyBorder="1" applyAlignment="1">
      <alignment horizontal="center" vertical="center"/>
    </xf>
    <xf numFmtId="0" fontId="78" fillId="0" borderId="14" xfId="231" applyFont="1" applyBorder="1" applyAlignment="1">
      <alignment horizontal="center" vertical="center"/>
    </xf>
    <xf numFmtId="0" fontId="79" fillId="0" borderId="19" xfId="231" applyFont="1" applyBorder="1" applyAlignment="1">
      <alignment horizontal="center" vertical="center"/>
    </xf>
    <xf numFmtId="0" fontId="29" fillId="0" borderId="55" xfId="231" applyFont="1" applyBorder="1" applyAlignment="1">
      <alignment horizontal="center" vertical="center"/>
    </xf>
    <xf numFmtId="0" fontId="84" fillId="0" borderId="56" xfId="231" applyFont="1" applyBorder="1" applyAlignment="1">
      <alignment horizontal="center" vertical="center"/>
    </xf>
    <xf numFmtId="0" fontId="78" fillId="0" borderId="31" xfId="231" applyFont="1" applyBorder="1" applyAlignment="1">
      <alignment horizontal="left" vertical="center"/>
    </xf>
    <xf numFmtId="0" fontId="78" fillId="0" borderId="45" xfId="231" applyFont="1" applyBorder="1" applyAlignment="1">
      <alignment horizontal="center" vertical="center"/>
    </xf>
    <xf numFmtId="165" fontId="79" fillId="0" borderId="57" xfId="231" applyNumberFormat="1" applyFont="1" applyBorder="1" applyAlignment="1">
      <alignment horizontal="center" vertical="center"/>
    </xf>
    <xf numFmtId="165" fontId="78" fillId="0" borderId="42" xfId="231" applyNumberFormat="1" applyFont="1" applyBorder="1" applyAlignment="1">
      <alignment horizontal="center" vertical="center"/>
    </xf>
    <xf numFmtId="165" fontId="78" fillId="0" borderId="28" xfId="231" applyNumberFormat="1" applyFont="1" applyBorder="1" applyAlignment="1">
      <alignment horizontal="center" vertical="center"/>
    </xf>
    <xf numFmtId="0" fontId="0" fillId="38" borderId="0" xfId="0" applyFill="1"/>
    <xf numFmtId="165" fontId="0" fillId="38" borderId="0" xfId="0" applyNumberFormat="1" applyFill="1"/>
    <xf numFmtId="0" fontId="0" fillId="36" borderId="0" xfId="0" applyFill="1"/>
    <xf numFmtId="165" fontId="0" fillId="36" borderId="0" xfId="0" applyNumberFormat="1" applyFill="1"/>
    <xf numFmtId="0" fontId="0" fillId="0" borderId="10" xfId="0" applyBorder="1"/>
    <xf numFmtId="165" fontId="24" fillId="49" borderId="34" xfId="0" applyNumberFormat="1" applyFont="1" applyFill="1" applyBorder="1"/>
    <xf numFmtId="165" fontId="24" fillId="36" borderId="35" xfId="0" applyNumberFormat="1" applyFont="1" applyFill="1" applyBorder="1"/>
    <xf numFmtId="0" fontId="96" fillId="0" borderId="0" xfId="0" applyFont="1"/>
    <xf numFmtId="0" fontId="55" fillId="0" borderId="0" xfId="0" applyFont="1"/>
    <xf numFmtId="0" fontId="75" fillId="0" borderId="0" xfId="0" applyFont="1"/>
    <xf numFmtId="1" fontId="55" fillId="0" borderId="0" xfId="0" applyNumberFormat="1" applyFont="1"/>
    <xf numFmtId="0" fontId="96" fillId="0" borderId="0" xfId="0" applyFont="1" applyAlignment="1">
      <alignment horizontal="center"/>
    </xf>
    <xf numFmtId="0" fontId="97" fillId="0" borderId="0" xfId="0" applyFont="1"/>
    <xf numFmtId="0" fontId="98" fillId="0" borderId="0" xfId="0" applyFont="1"/>
    <xf numFmtId="1" fontId="96" fillId="0" borderId="0" xfId="0" applyNumberFormat="1" applyFont="1"/>
    <xf numFmtId="166" fontId="96" fillId="0" borderId="0" xfId="0" applyNumberFormat="1" applyFont="1"/>
    <xf numFmtId="0" fontId="22" fillId="0" borderId="0" xfId="0" applyFont="1"/>
    <xf numFmtId="166" fontId="97" fillId="0" borderId="0" xfId="0" applyNumberFormat="1" applyFont="1"/>
    <xf numFmtId="1" fontId="55" fillId="0" borderId="0" xfId="0" applyNumberFormat="1" applyFont="1" applyAlignment="1">
      <alignment horizontal="right"/>
    </xf>
    <xf numFmtId="1" fontId="96" fillId="0" borderId="0" xfId="0" applyNumberFormat="1" applyFont="1" applyAlignment="1">
      <alignment horizontal="right"/>
    </xf>
    <xf numFmtId="165" fontId="55" fillId="0" borderId="0" xfId="0" applyNumberFormat="1" applyFont="1"/>
    <xf numFmtId="168" fontId="96" fillId="0" borderId="0" xfId="267" applyNumberFormat="1" applyFont="1" applyFill="1" applyAlignment="1"/>
    <xf numFmtId="0" fontId="78" fillId="0" borderId="37" xfId="231" applyFont="1" applyBorder="1" applyAlignment="1">
      <alignment wrapText="1"/>
    </xf>
    <xf numFmtId="0" fontId="78" fillId="0" borderId="26" xfId="231" applyFont="1" applyBorder="1"/>
    <xf numFmtId="165" fontId="78" fillId="0" borderId="24" xfId="231" applyNumberFormat="1" applyFont="1" applyBorder="1" applyAlignment="1">
      <alignment horizontal="center" vertical="center"/>
    </xf>
    <xf numFmtId="0" fontId="78" fillId="41" borderId="24" xfId="231" applyFont="1" applyFill="1" applyBorder="1" applyAlignment="1">
      <alignment horizontal="center" vertical="center"/>
    </xf>
    <xf numFmtId="0" fontId="78" fillId="0" borderId="22" xfId="231" applyFont="1" applyBorder="1" applyAlignment="1">
      <alignment horizontal="center" vertical="center"/>
    </xf>
    <xf numFmtId="0" fontId="88" fillId="0" borderId="33" xfId="231" applyFont="1" applyBorder="1" applyAlignment="1">
      <alignment horizontal="center" vertical="center"/>
    </xf>
    <xf numFmtId="0" fontId="78" fillId="0" borderId="32" xfId="231" applyFont="1" applyBorder="1" applyAlignment="1">
      <alignment horizontal="center" vertical="center"/>
    </xf>
    <xf numFmtId="0" fontId="0" fillId="41" borderId="0" xfId="0" applyFill="1"/>
    <xf numFmtId="165" fontId="24" fillId="41" borderId="35" xfId="0" applyNumberFormat="1" applyFont="1" applyFill="1" applyBorder="1"/>
    <xf numFmtId="0" fontId="92" fillId="49" borderId="38" xfId="0" applyFont="1" applyFill="1" applyBorder="1" applyAlignment="1">
      <alignment horizontal="center" vertical="center" wrapText="1"/>
    </xf>
    <xf numFmtId="0" fontId="92" fillId="0" borderId="10" xfId="0" applyFont="1" applyBorder="1" applyAlignment="1">
      <alignment horizontal="center" vertical="center" wrapText="1"/>
    </xf>
    <xf numFmtId="0" fontId="70" fillId="36" borderId="38" xfId="0" applyFont="1" applyFill="1" applyBorder="1" applyAlignment="1">
      <alignment horizontal="center" vertical="center" wrapText="1"/>
    </xf>
    <xf numFmtId="0" fontId="92" fillId="0" borderId="24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43" borderId="10" xfId="0" applyFont="1" applyFill="1" applyBorder="1" applyAlignment="1">
      <alignment horizontal="center" vertical="center" wrapText="1"/>
    </xf>
    <xf numFmtId="0" fontId="25" fillId="43" borderId="24" xfId="0" applyFont="1" applyFill="1" applyBorder="1" applyAlignment="1">
      <alignment horizontal="center" vertical="center" wrapText="1"/>
    </xf>
    <xf numFmtId="0" fontId="21" fillId="43" borderId="59" xfId="0" applyFont="1" applyFill="1" applyBorder="1" applyAlignment="1">
      <alignment horizontal="center" vertical="center" wrapText="1"/>
    </xf>
    <xf numFmtId="0" fontId="31" fillId="0" borderId="38" xfId="0" applyFont="1" applyBorder="1" applyAlignment="1">
      <alignment horizontal="center" vertical="center"/>
    </xf>
    <xf numFmtId="0" fontId="30" fillId="46" borderId="59" xfId="0" applyFont="1" applyFill="1" applyBorder="1" applyAlignment="1">
      <alignment horizontal="center" vertical="center"/>
    </xf>
    <xf numFmtId="0" fontId="70" fillId="46" borderId="38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46" borderId="24" xfId="0" applyFill="1" applyBorder="1" applyAlignment="1">
      <alignment horizontal="center" vertical="center" wrapText="1"/>
    </xf>
    <xf numFmtId="0" fontId="24" fillId="46" borderId="59" xfId="0" applyFont="1" applyFill="1" applyBorder="1" applyAlignment="1">
      <alignment horizontal="center" vertical="center" wrapText="1"/>
    </xf>
    <xf numFmtId="0" fontId="70" fillId="0" borderId="10" xfId="0" applyFont="1" applyBorder="1" applyAlignment="1">
      <alignment horizontal="center" vertical="center" wrapText="1"/>
    </xf>
    <xf numFmtId="0" fontId="31" fillId="49" borderId="24" xfId="0" applyFont="1" applyFill="1" applyBorder="1" applyAlignment="1">
      <alignment horizontal="center" vertical="center" wrapText="1"/>
    </xf>
    <xf numFmtId="0" fontId="30" fillId="36" borderId="24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0" fontId="0" fillId="41" borderId="24" xfId="0" applyFill="1" applyBorder="1" applyAlignment="1">
      <alignment horizontal="center" vertical="center" wrapText="1"/>
    </xf>
    <xf numFmtId="0" fontId="70" fillId="51" borderId="38" xfId="0" applyFont="1" applyFill="1" applyBorder="1" applyAlignment="1">
      <alignment horizontal="center" vertical="center" wrapText="1"/>
    </xf>
    <xf numFmtId="0" fontId="24" fillId="40" borderId="10" xfId="0" applyFont="1" applyFill="1" applyBorder="1" applyAlignment="1">
      <alignment horizontal="center" vertical="center" wrapText="1"/>
    </xf>
    <xf numFmtId="0" fontId="30" fillId="40" borderId="10" xfId="0" applyFont="1" applyFill="1" applyBorder="1" applyAlignment="1">
      <alignment horizontal="center" vertical="center" wrapText="1"/>
    </xf>
    <xf numFmtId="0" fontId="0" fillId="53" borderId="0" xfId="0" applyFill="1"/>
    <xf numFmtId="0" fontId="24" fillId="53" borderId="0" xfId="0" applyFont="1" applyFill="1"/>
    <xf numFmtId="0" fontId="70" fillId="53" borderId="0" xfId="0" applyFont="1" applyFill="1"/>
    <xf numFmtId="0" fontId="31" fillId="53" borderId="0" xfId="0" applyFont="1" applyFill="1"/>
    <xf numFmtId="0" fontId="29" fillId="53" borderId="0" xfId="0" applyFont="1" applyFill="1" applyAlignment="1">
      <alignment horizontal="center" vertical="center"/>
    </xf>
    <xf numFmtId="0" fontId="0" fillId="53" borderId="60" xfId="0" applyFill="1" applyBorder="1"/>
    <xf numFmtId="0" fontId="0" fillId="0" borderId="24" xfId="0" applyBorder="1" applyAlignment="1">
      <alignment horizontal="center" vertical="center"/>
    </xf>
    <xf numFmtId="0" fontId="30" fillId="53" borderId="0" xfId="0" applyFont="1" applyFill="1"/>
    <xf numFmtId="0" fontId="30" fillId="0" borderId="0" xfId="0" applyFont="1"/>
    <xf numFmtId="0" fontId="30" fillId="36" borderId="59" xfId="0" applyFont="1" applyFill="1" applyBorder="1" applyAlignment="1">
      <alignment horizontal="center" vertical="center" wrapText="1"/>
    </xf>
    <xf numFmtId="0" fontId="30" fillId="49" borderId="59" xfId="0" applyFont="1" applyFill="1" applyBorder="1" applyAlignment="1">
      <alignment horizontal="center" vertical="center" wrapText="1"/>
    </xf>
    <xf numFmtId="1" fontId="24" fillId="0" borderId="0" xfId="0" applyNumberFormat="1" applyFont="1"/>
    <xf numFmtId="0" fontId="24" fillId="41" borderId="59" xfId="0" applyFont="1" applyFill="1" applyBorder="1" applyAlignment="1">
      <alignment horizontal="center" vertical="center" wrapText="1"/>
    </xf>
    <xf numFmtId="0" fontId="30" fillId="35" borderId="59" xfId="0" applyFont="1" applyFill="1" applyBorder="1" applyAlignment="1">
      <alignment horizontal="center" vertical="center" wrapText="1"/>
    </xf>
    <xf numFmtId="0" fontId="31" fillId="36" borderId="2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58" fillId="0" borderId="0" xfId="0" applyFont="1" applyAlignment="1">
      <alignment horizontal="center" vertical="center" wrapText="1"/>
    </xf>
    <xf numFmtId="0" fontId="21" fillId="43" borderId="58" xfId="0" applyFont="1" applyFill="1" applyBorder="1" applyAlignment="1">
      <alignment horizontal="center" vertical="center" wrapText="1"/>
    </xf>
    <xf numFmtId="0" fontId="31" fillId="0" borderId="38" xfId="0" applyFont="1" applyBorder="1" applyAlignment="1">
      <alignment horizontal="center" vertical="center" wrapText="1"/>
    </xf>
    <xf numFmtId="0" fontId="24" fillId="46" borderId="58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31" fillId="39" borderId="24" xfId="0" applyFont="1" applyFill="1" applyBorder="1" applyAlignment="1">
      <alignment horizontal="center" vertical="center" wrapText="1"/>
    </xf>
    <xf numFmtId="0" fontId="30" fillId="39" borderId="58" xfId="0" applyFont="1" applyFill="1" applyBorder="1" applyAlignment="1">
      <alignment horizontal="center" vertical="center" wrapText="1"/>
    </xf>
    <xf numFmtId="0" fontId="92" fillId="50" borderId="38" xfId="0" applyFont="1" applyFill="1" applyBorder="1" applyAlignment="1">
      <alignment horizontal="center" vertical="center" wrapText="1"/>
    </xf>
    <xf numFmtId="0" fontId="70" fillId="50" borderId="38" xfId="0" applyFont="1" applyFill="1" applyBorder="1" applyAlignment="1">
      <alignment horizontal="center" vertical="center" wrapText="1"/>
    </xf>
    <xf numFmtId="0" fontId="95" fillId="0" borderId="10" xfId="0" applyFont="1" applyBorder="1" applyAlignment="1">
      <alignment horizontal="center" vertical="center" wrapText="1"/>
    </xf>
    <xf numFmtId="0" fontId="31" fillId="52" borderId="24" xfId="0" applyFont="1" applyFill="1" applyBorder="1" applyAlignment="1">
      <alignment horizontal="center" vertical="center" wrapText="1"/>
    </xf>
    <xf numFmtId="0" fontId="30" fillId="52" borderId="58" xfId="0" applyFont="1" applyFill="1" applyBorder="1" applyAlignment="1">
      <alignment horizontal="center" vertical="center" wrapText="1"/>
    </xf>
    <xf numFmtId="0" fontId="70" fillId="52" borderId="38" xfId="0" applyFont="1" applyFill="1" applyBorder="1" applyAlignment="1">
      <alignment horizontal="center" vertical="center" wrapText="1"/>
    </xf>
    <xf numFmtId="0" fontId="24" fillId="41" borderId="58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9" fontId="30" fillId="35" borderId="5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40" borderId="10" xfId="0" applyFill="1" applyBorder="1" applyAlignment="1">
      <alignment horizontal="center" vertical="center" wrapText="1"/>
    </xf>
    <xf numFmtId="0" fontId="24" fillId="40" borderId="10" xfId="0" applyFont="1" applyFill="1" applyBorder="1" applyAlignment="1">
      <alignment horizontal="center" vertical="center"/>
    </xf>
    <xf numFmtId="0" fontId="31" fillId="46" borderId="24" xfId="0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100" fillId="0" borderId="0" xfId="0" applyFont="1"/>
    <xf numFmtId="0" fontId="101" fillId="0" borderId="0" xfId="0" applyFont="1"/>
    <xf numFmtId="0" fontId="100" fillId="0" borderId="0" xfId="0" applyFont="1" applyAlignment="1">
      <alignment horizontal="left" vertical="center"/>
    </xf>
    <xf numFmtId="0" fontId="102" fillId="0" borderId="0" xfId="0" applyFont="1"/>
    <xf numFmtId="0" fontId="103" fillId="0" borderId="0" xfId="197" applyFont="1" applyFill="1" applyAlignment="1" applyProtection="1"/>
    <xf numFmtId="0" fontId="70" fillId="0" borderId="43" xfId="0" applyFont="1" applyBorder="1" applyAlignment="1">
      <alignment horizontal="center" vertical="center" wrapText="1"/>
    </xf>
    <xf numFmtId="0" fontId="92" fillId="0" borderId="43" xfId="0" applyFont="1" applyBorder="1" applyAlignment="1">
      <alignment horizontal="center" vertical="center" wrapText="1"/>
    </xf>
    <xf numFmtId="0" fontId="24" fillId="53" borderId="61" xfId="0" applyFont="1" applyFill="1" applyBorder="1"/>
    <xf numFmtId="1" fontId="50" fillId="0" borderId="14" xfId="0" applyNumberFormat="1" applyFont="1" applyBorder="1"/>
    <xf numFmtId="0" fontId="84" fillId="0" borderId="18" xfId="231" applyFont="1" applyBorder="1" applyAlignment="1">
      <alignment horizontal="center" vertical="center"/>
    </xf>
    <xf numFmtId="0" fontId="85" fillId="0" borderId="19" xfId="231" applyFont="1" applyBorder="1" applyAlignment="1">
      <alignment horizontal="center" vertical="center"/>
    </xf>
    <xf numFmtId="0" fontId="83" fillId="0" borderId="41" xfId="231" applyFont="1" applyBorder="1" applyAlignment="1">
      <alignment horizontal="left" vertical="center"/>
    </xf>
    <xf numFmtId="0" fontId="29" fillId="38" borderId="10" xfId="231" applyFont="1" applyFill="1" applyBorder="1" applyAlignment="1">
      <alignment horizontal="left" vertical="center"/>
    </xf>
    <xf numFmtId="0" fontId="104" fillId="0" borderId="0" xfId="0" applyFont="1"/>
    <xf numFmtId="0" fontId="0" fillId="54" borderId="10" xfId="0" applyFill="1" applyBorder="1"/>
    <xf numFmtId="0" fontId="31" fillId="54" borderId="10" xfId="0" applyFont="1" applyFill="1" applyBorder="1"/>
    <xf numFmtId="0" fontId="0" fillId="39" borderId="10" xfId="0" applyFill="1" applyBorder="1"/>
    <xf numFmtId="0" fontId="0" fillId="52" borderId="10" xfId="0" applyFill="1" applyBorder="1"/>
    <xf numFmtId="0" fontId="0" fillId="35" borderId="10" xfId="0" applyFill="1" applyBorder="1"/>
    <xf numFmtId="0" fontId="84" fillId="0" borderId="0" xfId="0" applyFont="1"/>
    <xf numFmtId="0" fontId="79" fillId="0" borderId="14" xfId="231" applyFont="1" applyBorder="1" applyAlignment="1">
      <alignment vertical="center"/>
    </xf>
    <xf numFmtId="0" fontId="29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 wrapText="1"/>
    </xf>
    <xf numFmtId="165" fontId="31" fillId="0" borderId="0" xfId="0" applyNumberFormat="1" applyFont="1"/>
    <xf numFmtId="166" fontId="55" fillId="0" borderId="0" xfId="0" applyNumberFormat="1" applyFont="1"/>
    <xf numFmtId="167" fontId="0" fillId="41" borderId="0" xfId="0" applyNumberFormat="1" applyFill="1"/>
    <xf numFmtId="0" fontId="29" fillId="0" borderId="10" xfId="0" applyFont="1" applyBorder="1"/>
    <xf numFmtId="0" fontId="29" fillId="41" borderId="10" xfId="231" applyFont="1" applyFill="1" applyBorder="1" applyAlignment="1">
      <alignment horizontal="center" vertical="center"/>
    </xf>
    <xf numFmtId="165" fontId="84" fillId="41" borderId="10" xfId="231" applyNumberFormat="1" applyFont="1" applyFill="1" applyBorder="1" applyAlignment="1">
      <alignment horizontal="center" vertical="center"/>
    </xf>
    <xf numFmtId="165" fontId="29" fillId="41" borderId="10" xfId="231" applyNumberFormat="1" applyFont="1" applyFill="1" applyBorder="1" applyAlignment="1">
      <alignment horizontal="center" vertical="center"/>
    </xf>
    <xf numFmtId="49" fontId="55" fillId="39" borderId="10" xfId="0" applyNumberFormat="1" applyFont="1" applyFill="1" applyBorder="1" applyAlignment="1">
      <alignment horizontal="left"/>
    </xf>
    <xf numFmtId="49" fontId="55" fillId="39" borderId="10" xfId="0" applyNumberFormat="1" applyFont="1" applyFill="1" applyBorder="1"/>
    <xf numFmtId="0" fontId="78" fillId="0" borderId="32" xfId="231" applyFont="1" applyBorder="1" applyAlignment="1">
      <alignment horizontal="left" vertical="center"/>
    </xf>
    <xf numFmtId="0" fontId="25" fillId="43" borderId="10" xfId="0" applyFont="1" applyFill="1" applyBorder="1"/>
    <xf numFmtId="0" fontId="105" fillId="35" borderId="0" xfId="0" applyFont="1" applyFill="1"/>
    <xf numFmtId="0" fontId="0" fillId="35" borderId="0" xfId="0" applyFill="1"/>
    <xf numFmtId="9" fontId="0" fillId="35" borderId="0" xfId="0" applyNumberFormat="1" applyFill="1"/>
    <xf numFmtId="0" fontId="0" fillId="46" borderId="0" xfId="0" applyFill="1" applyAlignment="1">
      <alignment horizontal="center"/>
    </xf>
    <xf numFmtId="0" fontId="24" fillId="46" borderId="0" xfId="0" applyFont="1" applyFill="1" applyAlignment="1">
      <alignment horizontal="center" vertical="center" wrapText="1"/>
    </xf>
    <xf numFmtId="0" fontId="24" fillId="46" borderId="0" xfId="0" applyFont="1" applyFill="1" applyAlignment="1">
      <alignment horizontal="center"/>
    </xf>
    <xf numFmtId="0" fontId="22" fillId="46" borderId="0" xfId="0" applyFont="1" applyFill="1" applyAlignment="1">
      <alignment horizontal="center"/>
    </xf>
    <xf numFmtId="0" fontId="31" fillId="46" borderId="0" xfId="0" applyFont="1" applyFill="1" applyAlignment="1">
      <alignment horizontal="center"/>
    </xf>
    <xf numFmtId="0" fontId="29" fillId="46" borderId="29" xfId="0" applyFont="1" applyFill="1" applyBorder="1" applyAlignment="1">
      <alignment horizontal="left"/>
    </xf>
    <xf numFmtId="0" fontId="57" fillId="0" borderId="0" xfId="197" applyBorder="1" applyAlignment="1" applyProtection="1"/>
    <xf numFmtId="166" fontId="30" fillId="0" borderId="10" xfId="0" applyNumberFormat="1" applyFont="1" applyBorder="1" applyAlignment="1">
      <alignment horizontal="center"/>
    </xf>
    <xf numFmtId="0" fontId="0" fillId="0" borderId="29" xfId="0" applyBorder="1"/>
    <xf numFmtId="0" fontId="0" fillId="0" borderId="39" xfId="0" applyBorder="1"/>
    <xf numFmtId="0" fontId="0" fillId="0" borderId="30" xfId="0" applyBorder="1"/>
    <xf numFmtId="0" fontId="0" fillId="0" borderId="40" xfId="0" applyBorder="1"/>
    <xf numFmtId="0" fontId="0" fillId="0" borderId="41" xfId="0" applyBorder="1"/>
    <xf numFmtId="0" fontId="0" fillId="0" borderId="27" xfId="0" applyBorder="1"/>
    <xf numFmtId="166" fontId="24" fillId="0" borderId="42" xfId="0" applyNumberFormat="1" applyFont="1" applyBorder="1" applyAlignment="1">
      <alignment horizontal="center"/>
    </xf>
    <xf numFmtId="0" fontId="0" fillId="0" borderId="28" xfId="0" applyBorder="1"/>
    <xf numFmtId="49" fontId="25" fillId="55" borderId="10" xfId="0" applyNumberFormat="1" applyFont="1" applyFill="1" applyBorder="1"/>
    <xf numFmtId="0" fontId="25" fillId="0" borderId="10" xfId="0" applyFont="1" applyBorder="1"/>
    <xf numFmtId="0" fontId="31" fillId="0" borderId="10" xfId="0" applyFont="1" applyBorder="1"/>
    <xf numFmtId="1" fontId="55" fillId="0" borderId="14" xfId="0" applyNumberFormat="1" applyFont="1" applyBorder="1"/>
    <xf numFmtId="0" fontId="57" fillId="0" borderId="0" xfId="197" applyAlignment="1" applyProtection="1">
      <alignment vertical="center"/>
    </xf>
    <xf numFmtId="0" fontId="24" fillId="0" borderId="24" xfId="0" applyFont="1" applyBorder="1" applyAlignment="1">
      <alignment horizontal="center"/>
    </xf>
    <xf numFmtId="0" fontId="24" fillId="0" borderId="43" xfId="0" applyFont="1" applyBorder="1" applyAlignment="1">
      <alignment horizontal="center"/>
    </xf>
    <xf numFmtId="0" fontId="24" fillId="0" borderId="38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4" fillId="0" borderId="41" xfId="0" applyFont="1" applyBorder="1" applyAlignment="1">
      <alignment horizontal="center"/>
    </xf>
  </cellXfs>
  <cellStyles count="271">
    <cellStyle name="20% - Accent1" xfId="19" builtinId="30" customBuiltin="1"/>
    <cellStyle name="20% - Accent1 2" xfId="53" xr:uid="{00000000-0005-0000-0000-000001000000}"/>
    <cellStyle name="20% - Accent1 2 2" xfId="165" xr:uid="{00000000-0005-0000-0000-000002000000}"/>
    <cellStyle name="20% - Accent1 2 2 2" xfId="238" xr:uid="{A87169DA-D8D8-49D8-99DF-17E165F178B1}"/>
    <cellStyle name="20% - Accent1 2 3" xfId="204" xr:uid="{7F571390-B01A-403E-93A0-6AE36F16F69F}"/>
    <cellStyle name="20% - Accent1 3" xfId="101" xr:uid="{00000000-0005-0000-0000-000003000000}"/>
    <cellStyle name="20% - Accent1 3 2" xfId="181" xr:uid="{00000000-0005-0000-0000-000004000000}"/>
    <cellStyle name="20% - Accent1 3 2 2" xfId="253" xr:uid="{B662100C-9C1A-4AB8-A02B-A226E1E11227}"/>
    <cellStyle name="20% - Accent1 3 3" xfId="219" xr:uid="{A1B36D70-B5F2-42BD-9FC5-86DB7275AA35}"/>
    <cellStyle name="20% - Accent1 4" xfId="135" xr:uid="{00000000-0005-0000-0000-000005000000}"/>
    <cellStyle name="20% - Accent2" xfId="23" builtinId="34" customBuiltin="1"/>
    <cellStyle name="20% - Accent2 2" xfId="54" xr:uid="{00000000-0005-0000-0000-000007000000}"/>
    <cellStyle name="20% - Accent2 2 2" xfId="166" xr:uid="{00000000-0005-0000-0000-000008000000}"/>
    <cellStyle name="20% - Accent2 2 2 2" xfId="239" xr:uid="{694BFD75-B106-4EF4-8FED-F5BEFEF266C2}"/>
    <cellStyle name="20% - Accent2 2 3" xfId="205" xr:uid="{CAF80791-81ED-43DC-B804-AF7278B60AAA}"/>
    <cellStyle name="20% - Accent2 3" xfId="103" xr:uid="{00000000-0005-0000-0000-000009000000}"/>
    <cellStyle name="20% - Accent2 3 2" xfId="183" xr:uid="{00000000-0005-0000-0000-00000A000000}"/>
    <cellStyle name="20% - Accent2 3 2 2" xfId="255" xr:uid="{252219B5-F53E-4934-8932-D51A4A715C67}"/>
    <cellStyle name="20% - Accent2 3 3" xfId="221" xr:uid="{0CE6E374-BB49-49C4-9E8C-5D76D5746083}"/>
    <cellStyle name="20% - Accent2 4" xfId="139" xr:uid="{00000000-0005-0000-0000-00000B000000}"/>
    <cellStyle name="20% - Accent3" xfId="27" builtinId="38" customBuiltin="1"/>
    <cellStyle name="20% - Accent3 2" xfId="55" xr:uid="{00000000-0005-0000-0000-00000D000000}"/>
    <cellStyle name="20% - Accent3 2 2" xfId="167" xr:uid="{00000000-0005-0000-0000-00000E000000}"/>
    <cellStyle name="20% - Accent3 2 2 2" xfId="240" xr:uid="{4A2947BF-27AC-4BD8-95BD-15F4C11FDF71}"/>
    <cellStyle name="20% - Accent3 2 3" xfId="206" xr:uid="{9E20AB1E-00E4-416F-9502-4D13F2728FB9}"/>
    <cellStyle name="20% - Accent3 3" xfId="105" xr:uid="{00000000-0005-0000-0000-00000F000000}"/>
    <cellStyle name="20% - Accent3 3 2" xfId="185" xr:uid="{00000000-0005-0000-0000-000010000000}"/>
    <cellStyle name="20% - Accent3 3 2 2" xfId="257" xr:uid="{B9044E61-BA6E-4BB3-A5DC-56D53D419DE5}"/>
    <cellStyle name="20% - Accent3 3 3" xfId="223" xr:uid="{4E2772B8-0769-4DF1-A2FD-DA13CA3FE07F}"/>
    <cellStyle name="20% - Accent3 4" xfId="143" xr:uid="{00000000-0005-0000-0000-000011000000}"/>
    <cellStyle name="20% - Accent4" xfId="31" builtinId="42" customBuiltin="1"/>
    <cellStyle name="20% - Accent4 2" xfId="56" xr:uid="{00000000-0005-0000-0000-000013000000}"/>
    <cellStyle name="20% - Accent4 2 2" xfId="168" xr:uid="{00000000-0005-0000-0000-000014000000}"/>
    <cellStyle name="20% - Accent4 2 2 2" xfId="241" xr:uid="{91AF1178-D7B6-49CD-8564-DB8811FC84F7}"/>
    <cellStyle name="20% - Accent4 2 3" xfId="207" xr:uid="{CE5D9B40-F0D8-4550-B671-F54D959A9090}"/>
    <cellStyle name="20% - Accent4 3" xfId="107" xr:uid="{00000000-0005-0000-0000-000015000000}"/>
    <cellStyle name="20% - Accent4 3 2" xfId="187" xr:uid="{00000000-0005-0000-0000-000016000000}"/>
    <cellStyle name="20% - Accent4 3 2 2" xfId="259" xr:uid="{E4B44B10-FA7D-489D-AF2E-814D30332BF6}"/>
    <cellStyle name="20% - Accent4 3 3" xfId="225" xr:uid="{BB93584D-819E-4CB7-9F36-F3341E4D632B}"/>
    <cellStyle name="20% - Accent4 4" xfId="147" xr:uid="{00000000-0005-0000-0000-000017000000}"/>
    <cellStyle name="20% - Accent5" xfId="35" builtinId="46" customBuiltin="1"/>
    <cellStyle name="20% - Accent5 2" xfId="57" xr:uid="{00000000-0005-0000-0000-000019000000}"/>
    <cellStyle name="20% - Accent5 2 2" xfId="169" xr:uid="{00000000-0005-0000-0000-00001A000000}"/>
    <cellStyle name="20% - Accent5 2 2 2" xfId="242" xr:uid="{7436B7DB-FDA7-4A13-9501-D529771A304D}"/>
    <cellStyle name="20% - Accent5 2 3" xfId="208" xr:uid="{B3258021-C787-42E6-9DD1-34B73C630CF0}"/>
    <cellStyle name="20% - Accent5 3" xfId="109" xr:uid="{00000000-0005-0000-0000-00001B000000}"/>
    <cellStyle name="20% - Accent5 3 2" xfId="189" xr:uid="{00000000-0005-0000-0000-00001C000000}"/>
    <cellStyle name="20% - Accent5 3 2 2" xfId="261" xr:uid="{6D58CE82-7CA0-4D2B-8B55-A701FFFA6EC1}"/>
    <cellStyle name="20% - Accent5 3 3" xfId="227" xr:uid="{3A60375C-931D-4A6C-AC9C-1895ADA9D534}"/>
    <cellStyle name="20% - Accent5 4" xfId="151" xr:uid="{00000000-0005-0000-0000-00001D000000}"/>
    <cellStyle name="20% - Accent6" xfId="39" builtinId="50" customBuiltin="1"/>
    <cellStyle name="20% - Accent6 2" xfId="58" xr:uid="{00000000-0005-0000-0000-00001F000000}"/>
    <cellStyle name="20% - Accent6 2 2" xfId="170" xr:uid="{00000000-0005-0000-0000-000020000000}"/>
    <cellStyle name="20% - Accent6 2 2 2" xfId="243" xr:uid="{C2961AE1-DDD2-4FE8-904B-195AB0F55880}"/>
    <cellStyle name="20% - Accent6 2 3" xfId="209" xr:uid="{9EC20C5C-A86A-435B-AA30-8C16D8A36473}"/>
    <cellStyle name="20% - Accent6 3" xfId="111" xr:uid="{00000000-0005-0000-0000-000021000000}"/>
    <cellStyle name="20% - Accent6 3 2" xfId="191" xr:uid="{00000000-0005-0000-0000-000022000000}"/>
    <cellStyle name="20% - Accent6 3 2 2" xfId="263" xr:uid="{57604C3E-E02F-4577-9F6C-CC4F2351DCCC}"/>
    <cellStyle name="20% - Accent6 3 3" xfId="229" xr:uid="{644AA2B5-E3A1-4B5C-8D0D-D85D3A7903D9}"/>
    <cellStyle name="20% - Accent6 4" xfId="155" xr:uid="{00000000-0005-0000-0000-000023000000}"/>
    <cellStyle name="40% - Accent1" xfId="20" builtinId="31" customBuiltin="1"/>
    <cellStyle name="40% - Accent1 2" xfId="59" xr:uid="{00000000-0005-0000-0000-000025000000}"/>
    <cellStyle name="40% - Accent1 2 2" xfId="171" xr:uid="{00000000-0005-0000-0000-000026000000}"/>
    <cellStyle name="40% - Accent1 2 2 2" xfId="244" xr:uid="{819D6763-F70D-48FE-94F7-EE60C8800E2A}"/>
    <cellStyle name="40% - Accent1 2 3" xfId="210" xr:uid="{DC24B9C4-1390-4608-9066-83895D86686E}"/>
    <cellStyle name="40% - Accent1 3" xfId="102" xr:uid="{00000000-0005-0000-0000-000027000000}"/>
    <cellStyle name="40% - Accent1 3 2" xfId="182" xr:uid="{00000000-0005-0000-0000-000028000000}"/>
    <cellStyle name="40% - Accent1 3 2 2" xfId="254" xr:uid="{B3A64857-45ED-4AAA-A92D-E5A3C0EFE641}"/>
    <cellStyle name="40% - Accent1 3 3" xfId="220" xr:uid="{97F2747F-E385-4580-9CD5-50C80A335151}"/>
    <cellStyle name="40% - Accent1 4" xfId="136" xr:uid="{00000000-0005-0000-0000-000029000000}"/>
    <cellStyle name="40% - Accent2" xfId="24" builtinId="35" customBuiltin="1"/>
    <cellStyle name="40% - Accent2 2" xfId="60" xr:uid="{00000000-0005-0000-0000-00002B000000}"/>
    <cellStyle name="40% - Accent2 2 2" xfId="172" xr:uid="{00000000-0005-0000-0000-00002C000000}"/>
    <cellStyle name="40% - Accent2 2 2 2" xfId="245" xr:uid="{9C363D61-6E0B-4662-AB4E-7539B805A820}"/>
    <cellStyle name="40% - Accent2 2 3" xfId="211" xr:uid="{BF088B75-929F-4627-B762-4FDFEBE90644}"/>
    <cellStyle name="40% - Accent2 3" xfId="104" xr:uid="{00000000-0005-0000-0000-00002D000000}"/>
    <cellStyle name="40% - Accent2 3 2" xfId="184" xr:uid="{00000000-0005-0000-0000-00002E000000}"/>
    <cellStyle name="40% - Accent2 3 2 2" xfId="256" xr:uid="{FDB1654C-5AED-4776-BBB8-21FF1F1AB7CD}"/>
    <cellStyle name="40% - Accent2 3 3" xfId="222" xr:uid="{267BC420-6C48-4AAA-A58D-B59FE016F326}"/>
    <cellStyle name="40% - Accent2 4" xfId="140" xr:uid="{00000000-0005-0000-0000-00002F000000}"/>
    <cellStyle name="40% - Accent3" xfId="28" builtinId="39" customBuiltin="1"/>
    <cellStyle name="40% - Accent3 2" xfId="61" xr:uid="{00000000-0005-0000-0000-000031000000}"/>
    <cellStyle name="40% - Accent3 2 2" xfId="173" xr:uid="{00000000-0005-0000-0000-000032000000}"/>
    <cellStyle name="40% - Accent3 2 2 2" xfId="246" xr:uid="{568C2F4B-EE8A-48A4-97FC-58C8D1AD06E8}"/>
    <cellStyle name="40% - Accent3 2 3" xfId="212" xr:uid="{D95DEDF1-6959-42B3-BC7B-B977ADA71CD8}"/>
    <cellStyle name="40% - Accent3 3" xfId="106" xr:uid="{00000000-0005-0000-0000-000033000000}"/>
    <cellStyle name="40% - Accent3 3 2" xfId="186" xr:uid="{00000000-0005-0000-0000-000034000000}"/>
    <cellStyle name="40% - Accent3 3 2 2" xfId="258" xr:uid="{EC9D2792-AD95-4EB7-B9E5-C3E951752DA0}"/>
    <cellStyle name="40% - Accent3 3 3" xfId="224" xr:uid="{29EB4090-9065-4710-853D-859F5B998396}"/>
    <cellStyle name="40% - Accent3 4" xfId="144" xr:uid="{00000000-0005-0000-0000-000035000000}"/>
    <cellStyle name="40% - Accent4" xfId="32" builtinId="43" customBuiltin="1"/>
    <cellStyle name="40% - Accent4 2" xfId="62" xr:uid="{00000000-0005-0000-0000-000037000000}"/>
    <cellStyle name="40% - Accent4 2 2" xfId="174" xr:uid="{00000000-0005-0000-0000-000038000000}"/>
    <cellStyle name="40% - Accent4 2 2 2" xfId="247" xr:uid="{558D8A81-69AD-4520-964E-EA4A6F08CAD7}"/>
    <cellStyle name="40% - Accent4 2 3" xfId="213" xr:uid="{F74DBF3F-A5DF-4D0E-B03F-0A909D27E791}"/>
    <cellStyle name="40% - Accent4 3" xfId="108" xr:uid="{00000000-0005-0000-0000-000039000000}"/>
    <cellStyle name="40% - Accent4 3 2" xfId="188" xr:uid="{00000000-0005-0000-0000-00003A000000}"/>
    <cellStyle name="40% - Accent4 3 2 2" xfId="260" xr:uid="{B8E9B240-4801-4B27-938E-A5B1063004A2}"/>
    <cellStyle name="40% - Accent4 3 3" xfId="226" xr:uid="{F2890B82-3ADA-4414-955F-B075CE3A88F4}"/>
    <cellStyle name="40% - Accent4 4" xfId="148" xr:uid="{00000000-0005-0000-0000-00003B000000}"/>
    <cellStyle name="40% - Accent5" xfId="36" builtinId="47" customBuiltin="1"/>
    <cellStyle name="40% - Accent5 2" xfId="63" xr:uid="{00000000-0005-0000-0000-00003D000000}"/>
    <cellStyle name="40% - Accent5 2 2" xfId="175" xr:uid="{00000000-0005-0000-0000-00003E000000}"/>
    <cellStyle name="40% - Accent5 2 2 2" xfId="248" xr:uid="{8A559154-1DA6-4C4B-AAF6-93BF64CA630F}"/>
    <cellStyle name="40% - Accent5 2 3" xfId="214" xr:uid="{71F6EB68-B68E-4CB7-A8A1-88F5D567D3CE}"/>
    <cellStyle name="40% - Accent5 3" xfId="110" xr:uid="{00000000-0005-0000-0000-00003F000000}"/>
    <cellStyle name="40% - Accent5 3 2" xfId="190" xr:uid="{00000000-0005-0000-0000-000040000000}"/>
    <cellStyle name="40% - Accent5 3 2 2" xfId="262" xr:uid="{92CB7D57-E79C-4EB7-9071-6F62A2397EF8}"/>
    <cellStyle name="40% - Accent5 3 3" xfId="228" xr:uid="{C0B22DD8-D846-4D2B-A75A-62E7C9709A2C}"/>
    <cellStyle name="40% - Accent5 4" xfId="152" xr:uid="{00000000-0005-0000-0000-000041000000}"/>
    <cellStyle name="40% - Accent6" xfId="40" builtinId="51" customBuiltin="1"/>
    <cellStyle name="40% - Accent6 2" xfId="64" xr:uid="{00000000-0005-0000-0000-000043000000}"/>
    <cellStyle name="40% - Accent6 2 2" xfId="176" xr:uid="{00000000-0005-0000-0000-000044000000}"/>
    <cellStyle name="40% - Accent6 2 2 2" xfId="249" xr:uid="{F77B1EAC-46F8-473C-AE92-008EB2211154}"/>
    <cellStyle name="40% - Accent6 2 3" xfId="215" xr:uid="{D4940069-9894-43BB-856C-864D68C07A66}"/>
    <cellStyle name="40% - Accent6 3" xfId="112" xr:uid="{00000000-0005-0000-0000-000045000000}"/>
    <cellStyle name="40% - Accent6 3 2" xfId="192" xr:uid="{00000000-0005-0000-0000-000046000000}"/>
    <cellStyle name="40% - Accent6 3 2 2" xfId="264" xr:uid="{CE506CC5-CD73-4BED-B7FE-00BC795671DB}"/>
    <cellStyle name="40% - Accent6 3 3" xfId="230" xr:uid="{8E62ECCC-84FC-4B77-838F-6D12EADCA9F1}"/>
    <cellStyle name="40% - Accent6 4" xfId="156" xr:uid="{00000000-0005-0000-0000-000047000000}"/>
    <cellStyle name="60% - Accent1" xfId="21" builtinId="32" customBuiltin="1"/>
    <cellStyle name="60% - Accent1 2" xfId="65" xr:uid="{00000000-0005-0000-0000-000049000000}"/>
    <cellStyle name="60% - Accent1 3" xfId="137" xr:uid="{00000000-0005-0000-0000-00004A000000}"/>
    <cellStyle name="60% - Accent2" xfId="25" builtinId="36" customBuiltin="1"/>
    <cellStyle name="60% - Accent2 2" xfId="66" xr:uid="{00000000-0005-0000-0000-00004C000000}"/>
    <cellStyle name="60% - Accent2 3" xfId="141" xr:uid="{00000000-0005-0000-0000-00004D000000}"/>
    <cellStyle name="60% - Accent3" xfId="29" builtinId="40" customBuiltin="1"/>
    <cellStyle name="60% - Accent3 2" xfId="67" xr:uid="{00000000-0005-0000-0000-00004F000000}"/>
    <cellStyle name="60% - Accent3 3" xfId="145" xr:uid="{00000000-0005-0000-0000-000050000000}"/>
    <cellStyle name="60% - Accent4" xfId="33" builtinId="44" customBuiltin="1"/>
    <cellStyle name="60% - Accent4 2" xfId="68" xr:uid="{00000000-0005-0000-0000-000052000000}"/>
    <cellStyle name="60% - Accent4 3" xfId="149" xr:uid="{00000000-0005-0000-0000-000053000000}"/>
    <cellStyle name="60% - Accent5" xfId="37" builtinId="48" customBuiltin="1"/>
    <cellStyle name="60% - Accent5 2" xfId="69" xr:uid="{00000000-0005-0000-0000-000055000000}"/>
    <cellStyle name="60% - Accent5 3" xfId="153" xr:uid="{00000000-0005-0000-0000-000056000000}"/>
    <cellStyle name="60% - Accent6" xfId="41" builtinId="52" customBuiltin="1"/>
    <cellStyle name="60% - Accent6 2" xfId="70" xr:uid="{00000000-0005-0000-0000-000058000000}"/>
    <cellStyle name="60% - Accent6 3" xfId="157" xr:uid="{00000000-0005-0000-0000-000059000000}"/>
    <cellStyle name="Accent1" xfId="18" builtinId="29" customBuiltin="1"/>
    <cellStyle name="Accent1 2" xfId="71" xr:uid="{00000000-0005-0000-0000-00005B000000}"/>
    <cellStyle name="Accent1 3" xfId="134" xr:uid="{00000000-0005-0000-0000-00005C000000}"/>
    <cellStyle name="Accent2" xfId="22" builtinId="33" customBuiltin="1"/>
    <cellStyle name="Accent2 2" xfId="72" xr:uid="{00000000-0005-0000-0000-00005E000000}"/>
    <cellStyle name="Accent2 3" xfId="138" xr:uid="{00000000-0005-0000-0000-00005F000000}"/>
    <cellStyle name="Accent3" xfId="26" builtinId="37" customBuiltin="1"/>
    <cellStyle name="Accent3 2" xfId="73" xr:uid="{00000000-0005-0000-0000-000061000000}"/>
    <cellStyle name="Accent3 3" xfId="142" xr:uid="{00000000-0005-0000-0000-000062000000}"/>
    <cellStyle name="Accent4" xfId="30" builtinId="41" customBuiltin="1"/>
    <cellStyle name="Accent4 2" xfId="74" xr:uid="{00000000-0005-0000-0000-000064000000}"/>
    <cellStyle name="Accent4 3" xfId="146" xr:uid="{00000000-0005-0000-0000-000065000000}"/>
    <cellStyle name="Accent5" xfId="34" builtinId="45" customBuiltin="1"/>
    <cellStyle name="Accent5 2" xfId="75" xr:uid="{00000000-0005-0000-0000-000067000000}"/>
    <cellStyle name="Accent5 3" xfId="150" xr:uid="{00000000-0005-0000-0000-000068000000}"/>
    <cellStyle name="Accent6" xfId="38" builtinId="49" customBuiltin="1"/>
    <cellStyle name="Accent6 2" xfId="76" xr:uid="{00000000-0005-0000-0000-00006A000000}"/>
    <cellStyle name="Accent6 3" xfId="154" xr:uid="{00000000-0005-0000-0000-00006B000000}"/>
    <cellStyle name="Bad" xfId="7" builtinId="27" customBuiltin="1"/>
    <cellStyle name="Bad 2" xfId="77" xr:uid="{00000000-0005-0000-0000-00006D000000}"/>
    <cellStyle name="Bad 3" xfId="123" xr:uid="{00000000-0005-0000-0000-00006E000000}"/>
    <cellStyle name="Body" xfId="114" xr:uid="{00000000-0005-0000-0000-00006F000000}"/>
    <cellStyle name="Body 2" xfId="194" xr:uid="{00000000-0005-0000-0000-000070000000}"/>
    <cellStyle name="Calculation" xfId="11" builtinId="22" customBuiltin="1"/>
    <cellStyle name="Calculation 2" xfId="78" xr:uid="{00000000-0005-0000-0000-000072000000}"/>
    <cellStyle name="Calculation 3" xfId="127" xr:uid="{00000000-0005-0000-0000-000073000000}"/>
    <cellStyle name="Check Cell" xfId="13" builtinId="23" customBuiltin="1"/>
    <cellStyle name="Check Cell 2" xfId="85" xr:uid="{00000000-0005-0000-0000-00008C000000}"/>
    <cellStyle name="Check Cell 3" xfId="129" xr:uid="{00000000-0005-0000-0000-00008D000000}"/>
    <cellStyle name="Comma" xfId="267" builtinId="3"/>
    <cellStyle name="Currency 2" xfId="195" xr:uid="{00000000-0005-0000-0000-000075000000}"/>
    <cellStyle name="Currency 2 2" xfId="265" xr:uid="{7ACC5062-8D83-4F0D-9294-45A9364074AA}"/>
    <cellStyle name="Explanatory Text" xfId="16" builtinId="53" customBuiltin="1"/>
    <cellStyle name="Explanatory Text 2" xfId="79" xr:uid="{00000000-0005-0000-0000-000077000000}"/>
    <cellStyle name="Explanatory Text 3" xfId="132" xr:uid="{00000000-0005-0000-0000-000078000000}"/>
    <cellStyle name="Good" xfId="6" builtinId="26" customBuiltin="1"/>
    <cellStyle name="Good 2" xfId="80" xr:uid="{00000000-0005-0000-0000-00007A000000}"/>
    <cellStyle name="Good 3" xfId="122" xr:uid="{00000000-0005-0000-0000-00007B000000}"/>
    <cellStyle name="Heading" xfId="113" xr:uid="{00000000-0005-0000-0000-00007C000000}"/>
    <cellStyle name="Heading 1" xfId="2" builtinId="16" customBuiltin="1"/>
    <cellStyle name="Heading 1 2" xfId="81" xr:uid="{00000000-0005-0000-0000-00007E000000}"/>
    <cellStyle name="Heading 1 3" xfId="118" xr:uid="{00000000-0005-0000-0000-00007F000000}"/>
    <cellStyle name="Heading 2" xfId="3" builtinId="17" customBuiltin="1"/>
    <cellStyle name="Heading 2 2" xfId="82" xr:uid="{00000000-0005-0000-0000-000081000000}"/>
    <cellStyle name="Heading 2 3" xfId="119" xr:uid="{00000000-0005-0000-0000-000082000000}"/>
    <cellStyle name="Heading 3" xfId="4" builtinId="18" customBuiltin="1"/>
    <cellStyle name="Heading 3 2" xfId="83" xr:uid="{00000000-0005-0000-0000-000084000000}"/>
    <cellStyle name="Heading 3 3" xfId="120" xr:uid="{00000000-0005-0000-0000-000085000000}"/>
    <cellStyle name="Heading 4" xfId="5" builtinId="19" customBuiltin="1"/>
    <cellStyle name="Heading 4 2" xfId="84" xr:uid="{00000000-0005-0000-0000-000087000000}"/>
    <cellStyle name="Heading 4 3" xfId="121" xr:uid="{00000000-0005-0000-0000-000088000000}"/>
    <cellStyle name="Heading 5" xfId="193" xr:uid="{00000000-0005-0000-0000-000089000000}"/>
    <cellStyle name="Hyperlink" xfId="197" builtinId="8"/>
    <cellStyle name="Hyperlink 2" xfId="266" xr:uid="{42ACFEC5-4170-46E0-A68F-CC05D7650358}"/>
    <cellStyle name="Hyperlink 3" xfId="268" xr:uid="{D72D694D-B059-47B0-8CFD-DA595335888C}"/>
    <cellStyle name="Input" xfId="9" builtinId="20" customBuiltin="1"/>
    <cellStyle name="Input 2" xfId="86" xr:uid="{00000000-0005-0000-0000-00008F000000}"/>
    <cellStyle name="Input 3" xfId="125" xr:uid="{00000000-0005-0000-0000-000090000000}"/>
    <cellStyle name="Linked Cell" xfId="12" builtinId="24" customBuiltin="1"/>
    <cellStyle name="Linked Cell 2" xfId="87" xr:uid="{00000000-0005-0000-0000-000092000000}"/>
    <cellStyle name="Linked Cell 3" xfId="128" xr:uid="{00000000-0005-0000-0000-000093000000}"/>
    <cellStyle name="Neutral" xfId="8" builtinId="28" customBuiltin="1"/>
    <cellStyle name="Neutral 2" xfId="88" xr:uid="{00000000-0005-0000-0000-000095000000}"/>
    <cellStyle name="Neutral 3" xfId="124" xr:uid="{00000000-0005-0000-0000-000096000000}"/>
    <cellStyle name="Normal" xfId="0" builtinId="0"/>
    <cellStyle name="Normal 10" xfId="98" xr:uid="{00000000-0005-0000-0000-000098000000}"/>
    <cellStyle name="Normal 11" xfId="99" xr:uid="{00000000-0005-0000-0000-000099000000}"/>
    <cellStyle name="Normal 12" xfId="116" xr:uid="{00000000-0005-0000-0000-00009A000000}"/>
    <cellStyle name="Normal 13" xfId="115" xr:uid="{00000000-0005-0000-0000-00009B000000}"/>
    <cellStyle name="Normal 13 2" xfId="231" xr:uid="{D6339CDC-459F-410D-B546-8B0AE68AC4B3}"/>
    <cellStyle name="Normal 14" xfId="270" xr:uid="{B32EA9E1-6574-4CAF-A211-39C1BEA5B2D1}"/>
    <cellStyle name="Normal 2" xfId="48" xr:uid="{00000000-0005-0000-0000-00009C000000}"/>
    <cellStyle name="Normal 2 2" xfId="196" xr:uid="{00000000-0005-0000-0000-00009D000000}"/>
    <cellStyle name="Normal 2 3" xfId="161" xr:uid="{00000000-0005-0000-0000-00009E000000}"/>
    <cellStyle name="Normal 2 3 2" xfId="234" xr:uid="{8E5E7BAE-D2D7-49B8-84D9-FFC6CEB2827F}"/>
    <cellStyle name="Normal 2 4" xfId="200" xr:uid="{3FC8D00C-6B31-4DFC-B55B-DA3E542366F9}"/>
    <cellStyle name="Normal 2 5" xfId="269" xr:uid="{BCAF44CF-2552-4A40-B967-036E0A0074BF}"/>
    <cellStyle name="Normal 3" xfId="49" xr:uid="{00000000-0005-0000-0000-00009F000000}"/>
    <cellStyle name="Normal 3 2" xfId="162" xr:uid="{00000000-0005-0000-0000-0000A0000000}"/>
    <cellStyle name="Normal 3 2 2" xfId="235" xr:uid="{9748D3B2-6653-4550-AF56-9A615C67C368}"/>
    <cellStyle name="Normal 3 3" xfId="201" xr:uid="{FCA1DB52-AFDC-4D4B-904C-15057CDCD841}"/>
    <cellStyle name="Normal 4" xfId="51" xr:uid="{00000000-0005-0000-0000-0000A1000000}"/>
    <cellStyle name="Normal 4 2" xfId="163" xr:uid="{00000000-0005-0000-0000-0000A2000000}"/>
    <cellStyle name="Normal 4 2 2" xfId="236" xr:uid="{ACDF941C-1BE0-4932-AD4F-7EB30D3DF548}"/>
    <cellStyle name="Normal 4 3" xfId="202" xr:uid="{2BF5F4AC-03BE-445E-85C1-9CA3FACBD8AD}"/>
    <cellStyle name="Normal 5" xfId="52" xr:uid="{00000000-0005-0000-0000-0000A3000000}"/>
    <cellStyle name="Normal 5 2" xfId="164" xr:uid="{00000000-0005-0000-0000-0000A4000000}"/>
    <cellStyle name="Normal 5 2 2" xfId="237" xr:uid="{39A9E3A8-58AC-428C-A6CF-7EB2A7681174}"/>
    <cellStyle name="Normal 5 3" xfId="203" xr:uid="{0BBA2BB2-C24D-4A45-BD65-0A76D4F06314}"/>
    <cellStyle name="Normal 6" xfId="94" xr:uid="{00000000-0005-0000-0000-0000A5000000}"/>
    <cellStyle name="Normal 7" xfId="95" xr:uid="{00000000-0005-0000-0000-0000A6000000}"/>
    <cellStyle name="Normal 7 2" xfId="178" xr:uid="{00000000-0005-0000-0000-0000A7000000}"/>
    <cellStyle name="Normal 7 2 2" xfId="251" xr:uid="{51B5E5FA-0E9D-41FD-B953-0A652864A5E0}"/>
    <cellStyle name="Normal 7 3" xfId="217" xr:uid="{B5796944-8CDE-48B1-A9FA-0B703AB851A4}"/>
    <cellStyle name="Normal 8" xfId="96" xr:uid="{00000000-0005-0000-0000-0000A8000000}"/>
    <cellStyle name="Normal 8 2" xfId="179" xr:uid="{00000000-0005-0000-0000-0000A9000000}"/>
    <cellStyle name="Normal 9" xfId="97" xr:uid="{00000000-0005-0000-0000-0000AA000000}"/>
    <cellStyle name="normální_List1" xfId="50" xr:uid="{00000000-0005-0000-0000-0000AB000000}"/>
    <cellStyle name="Note" xfId="15" builtinId="10" customBuiltin="1"/>
    <cellStyle name="Note 2" xfId="89" xr:uid="{00000000-0005-0000-0000-0000AD000000}"/>
    <cellStyle name="Note 2 2" xfId="177" xr:uid="{00000000-0005-0000-0000-0000AE000000}"/>
    <cellStyle name="Note 2 2 2" xfId="250" xr:uid="{EE9E77F9-5018-4E55-800F-B7FC9484755C}"/>
    <cellStyle name="Note 2 3" xfId="216" xr:uid="{373A6A2C-3C08-4B51-B36C-D57A22B11747}"/>
    <cellStyle name="Note 3" xfId="100" xr:uid="{00000000-0005-0000-0000-0000AF000000}"/>
    <cellStyle name="Note 3 2" xfId="180" xr:uid="{00000000-0005-0000-0000-0000B0000000}"/>
    <cellStyle name="Note 3 2 2" xfId="252" xr:uid="{5C6C1BDF-957E-43FB-A61F-B6CEE93A26D1}"/>
    <cellStyle name="Note 3 3" xfId="218" xr:uid="{8CEBAFF0-4928-4C25-8097-3DE2969232DB}"/>
    <cellStyle name="Note 4" xfId="131" xr:uid="{00000000-0005-0000-0000-0000B1000000}"/>
    <cellStyle name="Output" xfId="10" builtinId="21" customBuiltin="1"/>
    <cellStyle name="Output 2" xfId="90" xr:uid="{00000000-0005-0000-0000-0000B3000000}"/>
    <cellStyle name="Output 3" xfId="126" xr:uid="{00000000-0005-0000-0000-0000B4000000}"/>
    <cellStyle name="Percent 2" xfId="158" xr:uid="{00000000-0005-0000-0000-0000B6000000}"/>
    <cellStyle name="SAPBEXaggData" xfId="47" xr:uid="{00000000-0005-0000-0000-0000B7000000}"/>
    <cellStyle name="SAPBEXaggData 2" xfId="160" xr:uid="{00000000-0005-0000-0000-0000B8000000}"/>
    <cellStyle name="SAPBEXaggData 2 2" xfId="233" xr:uid="{23392582-CC4B-4F94-887C-86240D229D87}"/>
    <cellStyle name="SAPBEXaggData 3" xfId="199" xr:uid="{03FC3D91-CB07-4046-AEAC-48AF21571F68}"/>
    <cellStyle name="SAPBEXaggItem" xfId="46" xr:uid="{00000000-0005-0000-0000-0000B9000000}"/>
    <cellStyle name="SAPBEXaggItem 2" xfId="159" xr:uid="{00000000-0005-0000-0000-0000BA000000}"/>
    <cellStyle name="SAPBEXaggItem 2 2" xfId="232" xr:uid="{0807DCB4-0A1E-4978-A820-3F6097E7CC22}"/>
    <cellStyle name="SAPBEXaggItem 3" xfId="198" xr:uid="{B4508BF1-F4A2-4C96-864C-0333F1D7BAAC}"/>
    <cellStyle name="SAPBEXchaText" xfId="42" xr:uid="{00000000-0005-0000-0000-0000BB000000}"/>
    <cellStyle name="SAPBEXstdData" xfId="45" xr:uid="{00000000-0005-0000-0000-0000BC000000}"/>
    <cellStyle name="SAPBEXstdItem" xfId="44" xr:uid="{00000000-0005-0000-0000-0000BD000000}"/>
    <cellStyle name="SAPBEXstdItemX" xfId="43" xr:uid="{00000000-0005-0000-0000-0000BE000000}"/>
    <cellStyle name="Title" xfId="1" builtinId="15" customBuiltin="1"/>
    <cellStyle name="Title 2" xfId="91" xr:uid="{00000000-0005-0000-0000-0000C0000000}"/>
    <cellStyle name="Title 3" xfId="117" xr:uid="{00000000-0005-0000-0000-0000C1000000}"/>
    <cellStyle name="Total" xfId="17" builtinId="25" customBuiltin="1"/>
    <cellStyle name="Total 2" xfId="92" xr:uid="{00000000-0005-0000-0000-0000C3000000}"/>
    <cellStyle name="Total 3" xfId="133" xr:uid="{00000000-0005-0000-0000-0000C4000000}"/>
    <cellStyle name="Warning Text" xfId="14" builtinId="11" customBuiltin="1"/>
    <cellStyle name="Warning Text 2" xfId="93" xr:uid="{00000000-0005-0000-0000-0000C6000000}"/>
    <cellStyle name="Warning Text 3" xfId="130" xr:uid="{00000000-0005-0000-0000-0000C7000000}"/>
  </cellStyles>
  <dxfs count="6">
    <dxf>
      <font>
        <strike val="0"/>
        <color rgb="FF00B050"/>
      </font>
    </dxf>
    <dxf>
      <font>
        <color rgb="FFFF0000"/>
      </font>
    </dxf>
    <dxf>
      <font>
        <strike val="0"/>
        <color rgb="FF00B050"/>
      </font>
    </dxf>
    <dxf>
      <font>
        <color rgb="FFFF0000"/>
      </font>
    </dxf>
    <dxf>
      <font>
        <strike val="0"/>
        <color rgb="FF00B050"/>
      </font>
    </dxf>
    <dxf>
      <font>
        <color rgb="FFFF0000"/>
      </font>
    </dxf>
  </dxfs>
  <tableStyles count="0" defaultTableStyle="TableStyleMedium9" defaultPivotStyle="PivotStyleLight16"/>
  <colors>
    <mruColors>
      <color rgb="FF00B050"/>
      <color rgb="FFFFAF79"/>
      <color rgb="FFEDEBDF"/>
      <color rgb="FF2FC9FF"/>
      <color rgb="FFFF6600"/>
      <color rgb="FFFFDE75"/>
      <color rgb="FFFFE285"/>
      <color rgb="FFFFEBFF"/>
      <color rgb="FFFFCCFF"/>
      <color rgb="FFFFF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Workshop</a:t>
            </a:r>
            <a:r>
              <a:rPr lang="cs-CZ"/>
              <a:t> </a:t>
            </a:r>
            <a:r>
              <a:rPr lang="en-US"/>
              <a:t>2021  - CO</a:t>
            </a:r>
            <a:r>
              <a:rPr lang="en-US" baseline="-25000"/>
              <a:t>2</a:t>
            </a:r>
            <a:r>
              <a:rPr lang="en-US"/>
              <a:t> 108</a:t>
            </a:r>
            <a:r>
              <a:rPr lang="cs-CZ"/>
              <a:t> t</a:t>
            </a:r>
            <a:r>
              <a:rPr lang="en-US"/>
              <a:t>  </a:t>
            </a:r>
          </a:p>
        </c:rich>
      </c:tx>
      <c:layout>
        <c:manualLayout>
          <c:xMode val="edge"/>
          <c:yMode val="edge"/>
          <c:x val="0.2506804832010136"/>
          <c:y val="4.904630286561129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816407164324441E-2"/>
          <c:y val="0.19426825387630273"/>
          <c:w val="0.59551612156019951"/>
          <c:h val="0.7394253149415830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7EF4-4F24-8B11-BD47D2BB26AE}"/>
              </c:ext>
            </c:extLst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D15D-41A3-AE42-3223D152CF0F}"/>
              </c:ext>
            </c:extLst>
          </c:dPt>
          <c:dPt>
            <c:idx val="2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7C52-45D6-BE35-D4DBA371AB22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15D-41A3-AE42-3223D152CF0F}"/>
              </c:ext>
            </c:extLst>
          </c:dPt>
          <c:dPt>
            <c:idx val="4"/>
            <c:bubble3D val="0"/>
            <c:spPr>
              <a:solidFill>
                <a:srgbClr val="FFAF7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EF4-4F24-8B11-BD47D2BB26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5D72-40DD-9A6B-ECA876967C27}"/>
              </c:ext>
            </c:extLst>
          </c:dPt>
          <c:dPt>
            <c:idx val="6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6F6B-40DF-90D0-5B81821940A1}"/>
              </c:ext>
            </c:extLst>
          </c:dPt>
          <c:dLbls>
            <c:dLbl>
              <c:idx val="0"/>
              <c:layout>
                <c:manualLayout>
                  <c:x val="-0.14048974873303721"/>
                  <c:y val="0.15713582245945565"/>
                </c:manualLayout>
              </c:layout>
              <c:tx>
                <c:rich>
                  <a:bodyPr/>
                  <a:lstStyle/>
                  <a:p>
                    <a:fld id="{BADFCCC7-EB99-405F-BC28-59D9407AB9CE}" type="VALUE">
                      <a:rPr lang="en-US"/>
                      <a:pPr/>
                      <a:t>[VALUE]</a:t>
                    </a:fld>
                    <a:r>
                      <a:rPr lang="en-US" baseline="0"/>
                      <a:t>,</a:t>
                    </a:r>
                  </a:p>
                  <a:p>
                    <a:r>
                      <a:rPr lang="en-US" baseline="0"/>
                      <a:t> </a:t>
                    </a:r>
                    <a:fld id="{C5F3B02F-9A2D-42AC-BCBF-3FACB706AE49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7EF4-4F24-8B11-BD47D2BB26AE}"/>
                </c:ext>
              </c:extLst>
            </c:dLbl>
            <c:dLbl>
              <c:idx val="1"/>
              <c:layout>
                <c:manualLayout>
                  <c:x val="4.7646572394967626E-2"/>
                  <c:y val="-0.20396758099730555"/>
                </c:manualLayout>
              </c:layout>
              <c:tx>
                <c:rich>
                  <a:bodyPr/>
                  <a:lstStyle/>
                  <a:p>
                    <a:fld id="{1A2B686D-C5CC-43E2-8919-AD52472AC5ED}" type="VALUE">
                      <a:rPr lang="en-US"/>
                      <a:pPr/>
                      <a:t>[VALUE]</a:t>
                    </a:fld>
                    <a:r>
                      <a:rPr lang="en-US" baseline="0"/>
                      <a:t>, </a:t>
                    </a:r>
                  </a:p>
                  <a:p>
                    <a:fld id="{AF03A178-23FA-441E-8FB6-0372E330A038}" type="PERCENTAGE">
                      <a:rPr lang="en-US" baseline="0"/>
                      <a:pPr/>
                      <a:t>[PERCENTAGE]</a:t>
                    </a:fld>
                    <a:endParaRPr lang="en-US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D15D-41A3-AE42-3223D152CF0F}"/>
                </c:ext>
              </c:extLst>
            </c:dLbl>
            <c:dLbl>
              <c:idx val="2"/>
              <c:layout>
                <c:manualLayout>
                  <c:x val="4.6732527134373453E-2"/>
                  <c:y val="6.6688474578721707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52-45D6-BE35-D4DBA371AB22}"/>
                </c:ext>
              </c:extLst>
            </c:dLbl>
            <c:dLbl>
              <c:idx val="3"/>
              <c:layout>
                <c:manualLayout>
                  <c:x val="0.16743123289960107"/>
                  <c:y val="0.19898141387561538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5D-41A3-AE42-3223D152CF0F}"/>
                </c:ext>
              </c:extLst>
            </c:dLbl>
            <c:dLbl>
              <c:idx val="4"/>
              <c:layout>
                <c:manualLayout>
                  <c:x val="0.16912522539457103"/>
                  <c:y val="0.2992741941313823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4-4F24-8B11-BD47D2BB26AE}"/>
                </c:ext>
              </c:extLst>
            </c:dLbl>
            <c:dLbl>
              <c:idx val="5"/>
              <c:layout>
                <c:manualLayout>
                  <c:x val="0.17026587856889239"/>
                  <c:y val="9.7808124109911881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72-40DD-9A6B-ECA876967C27}"/>
                </c:ext>
              </c:extLst>
            </c:dLbl>
            <c:dLbl>
              <c:idx val="6"/>
              <c:layout>
                <c:manualLayout>
                  <c:x val="6.1190935156237344E-2"/>
                  <c:y val="1.895139796566605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6B-40DF-90D0-5B81821940A1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GRAPHS21!$A$3:$A$9</c:f>
              <c:strCache>
                <c:ptCount val="7"/>
                <c:pt idx="0">
                  <c:v>Auta</c:v>
                </c:pt>
                <c:pt idx="1">
                  <c:v>El. Energie</c:v>
                </c:pt>
                <c:pt idx="2">
                  <c:v>Plyn</c:v>
                </c:pt>
                <c:pt idx="3">
                  <c:v>Obaly</c:v>
                </c:pt>
                <c:pt idx="4">
                  <c:v>Z odpadu</c:v>
                </c:pt>
                <c:pt idx="5">
                  <c:v>Drevo</c:v>
                </c:pt>
                <c:pt idx="6">
                  <c:v>Doprava</c:v>
                </c:pt>
              </c:strCache>
            </c:strRef>
          </c:cat>
          <c:val>
            <c:numRef>
              <c:f>GRAPHS21!$B$3:$B$9</c:f>
              <c:numCache>
                <c:formatCode>0</c:formatCode>
                <c:ptCount val="7"/>
                <c:pt idx="0">
                  <c:v>23018.349000000002</c:v>
                </c:pt>
                <c:pt idx="1">
                  <c:v>63928.799999999996</c:v>
                </c:pt>
                <c:pt idx="2">
                  <c:v>6059.9999999999991</c:v>
                </c:pt>
                <c:pt idx="3">
                  <c:v>135.69136255485307</c:v>
                </c:pt>
                <c:pt idx="4">
                  <c:v>328.84575893518303</c:v>
                </c:pt>
                <c:pt idx="5" formatCode="0.000">
                  <c:v>0.79960869659123956</c:v>
                </c:pt>
                <c:pt idx="6">
                  <c:v>14955.469779438406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5D-41A3-AE42-3223D152CF0F}"/>
            </c:ext>
          </c:extLst>
        </c:ser>
        <c:dLbls>
          <c:dLblPos val="ctr"/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08427406584054"/>
          <c:y val="0.24119729790435432"/>
          <c:w val="0.24180614313435334"/>
          <c:h val="0.63518408046712671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600" baseline="0">
                <a:solidFill>
                  <a:sysClr val="windowText" lastClr="000000"/>
                </a:solidFill>
              </a:rPr>
              <a:t>Workshop </a:t>
            </a:r>
            <a:r>
              <a:rPr lang="en-US" sz="1600" baseline="0">
                <a:solidFill>
                  <a:sysClr val="windowText" lastClr="000000"/>
                </a:solidFill>
              </a:rPr>
              <a:t>Auta </a:t>
            </a:r>
            <a:r>
              <a:rPr lang="cs-CZ" sz="1600">
                <a:solidFill>
                  <a:sysClr val="windowText" lastClr="000000"/>
                </a:solidFill>
              </a:rPr>
              <a:t>2</a:t>
            </a:r>
            <a:r>
              <a:rPr lang="en-US" sz="1600">
                <a:solidFill>
                  <a:sysClr val="windowText" lastClr="000000"/>
                </a:solidFill>
              </a:rPr>
              <a:t>0</a:t>
            </a:r>
            <a:r>
              <a:rPr lang="cs-CZ" sz="1600">
                <a:solidFill>
                  <a:sysClr val="windowText" lastClr="000000"/>
                </a:solidFill>
              </a:rPr>
              <a:t> </a:t>
            </a:r>
            <a:r>
              <a:rPr lang="en-US" sz="1600">
                <a:solidFill>
                  <a:sysClr val="windowText" lastClr="000000"/>
                </a:solidFill>
              </a:rPr>
              <a:t>t CO</a:t>
            </a:r>
            <a:r>
              <a:rPr lang="en-US" sz="1600" baseline="-25000">
                <a:solidFill>
                  <a:sysClr val="windowText" lastClr="000000"/>
                </a:solidFill>
              </a:rPr>
              <a:t>2</a:t>
            </a:r>
          </a:p>
        </c:rich>
      </c:tx>
      <c:layout>
        <c:manualLayout>
          <c:xMode val="edge"/>
          <c:yMode val="edge"/>
          <c:x val="0.22478307637841949"/>
          <c:y val="8.13260365914671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700708923012532"/>
          <c:y val="0.27901234567901234"/>
          <c:w val="0.4828939405830085"/>
          <c:h val="0.67292164868280357"/>
        </c:manualLayout>
      </c:layout>
      <c:pieChart>
        <c:varyColors val="1"/>
        <c:ser>
          <c:idx val="0"/>
          <c:order val="0"/>
          <c:tx>
            <c:strRef>
              <c:f>Auta21!$H$2:$J$2</c:f>
              <c:strCache>
                <c:ptCount val="3"/>
                <c:pt idx="0">
                  <c:v>Dílna</c:v>
                </c:pt>
                <c:pt idx="1">
                  <c:v>Sales</c:v>
                </c:pt>
                <c:pt idx="2">
                  <c:v>Region</c:v>
                </c:pt>
              </c:strCache>
            </c:strRef>
          </c:tx>
          <c:dPt>
            <c:idx val="0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64-4CEC-A89A-8B585B049736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64-4CEC-A89A-8B585B049736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64-4CEC-A89A-8B585B049736}"/>
              </c:ext>
            </c:extLst>
          </c:dPt>
          <c:dLbls>
            <c:dLbl>
              <c:idx val="0"/>
              <c:layout>
                <c:manualLayout>
                  <c:x val="-9.7452934662237034E-2"/>
                  <c:y val="0.2138825335512306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832779623477298"/>
                      <c:h val="0.253144654088050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864-4CEC-A89A-8B585B04973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269102990033224"/>
                      <c:h val="0.179245283018867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F864-4CEC-A89A-8B585B049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Auta21!$H$2:$J$2</c:f>
              <c:strCache>
                <c:ptCount val="3"/>
                <c:pt idx="0">
                  <c:v>Dílna</c:v>
                </c:pt>
                <c:pt idx="1">
                  <c:v>Sales</c:v>
                </c:pt>
                <c:pt idx="2">
                  <c:v>Region</c:v>
                </c:pt>
              </c:strCache>
            </c:strRef>
          </c:cat>
          <c:val>
            <c:numRef>
              <c:f>Auta21!$H$10:$J$10</c:f>
              <c:numCache>
                <c:formatCode>0</c:formatCode>
                <c:ptCount val="3"/>
                <c:pt idx="0">
                  <c:v>2100</c:v>
                </c:pt>
                <c:pt idx="1">
                  <c:v>11433.453000000001</c:v>
                </c:pt>
                <c:pt idx="2">
                  <c:v>9484.8960000000006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64-4CEC-A89A-8B585B04973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371412875716122"/>
          <c:y val="0.4039766255633141"/>
          <c:w val="0.18111422118746784"/>
          <c:h val="0.318398454910117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59896361897739"/>
          <c:y val="0.25955459080936066"/>
          <c:w val="0.53814798279368725"/>
          <c:h val="0.65309144824883736"/>
        </c:manualLayout>
      </c:layout>
      <c:pieChart>
        <c:varyColors val="1"/>
        <c:ser>
          <c:idx val="0"/>
          <c:order val="0"/>
          <c:spPr>
            <a:solidFill>
              <a:srgbClr val="00B0F0"/>
            </a:solidFill>
            <a:ln>
              <a:solidFill>
                <a:srgbClr val="FFFF00"/>
              </a:solidFill>
            </a:ln>
          </c:spPr>
          <c:explosion val="19"/>
          <c:dPt>
            <c:idx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48A-4BEC-8186-5917F65984A1}"/>
              </c:ext>
            </c:extLst>
          </c:dPt>
          <c:dLbls>
            <c:dLbl>
              <c:idx val="0"/>
              <c:layout>
                <c:manualLayout>
                  <c:x val="7.108659140676489E-2"/>
                  <c:y val="0.14079193456466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8A-4BEC-8186-5917F65984A1}"/>
                </c:ext>
              </c:extLst>
            </c:dLbl>
            <c:dLbl>
              <c:idx val="1"/>
              <c:layout>
                <c:manualLayout>
                  <c:x val="3.5955439631426274E-3"/>
                  <c:y val="-0.10068771767645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8A-4BEC-8186-5917F65984A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Odpady21!$D$4:$E$4</c:f>
              <c:strCache>
                <c:ptCount val="2"/>
                <c:pt idx="0">
                  <c:v>Plasty</c:v>
                </c:pt>
                <c:pt idx="1">
                  <c:v>Papir</c:v>
                </c:pt>
              </c:strCache>
            </c:strRef>
          </c:cat>
          <c:val>
            <c:numRef>
              <c:f>Odpady21!$D$7:$E$7</c:f>
              <c:numCache>
                <c:formatCode>0.000</c:formatCode>
                <c:ptCount val="2"/>
                <c:pt idx="0">
                  <c:v>1.5078947368421081E-2</c:v>
                </c:pt>
                <c:pt idx="1">
                  <c:v>3.2328000000000001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8A-4BEC-8186-5917F6598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Energie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EnergiePlyn21!$H$33</c:f>
              <c:strCache>
                <c:ptCount val="1"/>
                <c:pt idx="0">
                  <c:v>El. energie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EnergiePlyn21!$I$32:$J$32</c:f>
              <c:strCache>
                <c:ptCount val="2"/>
                <c:pt idx="0">
                  <c:v>Dilna1</c:v>
                </c:pt>
                <c:pt idx="1">
                  <c:v>Vez</c:v>
                </c:pt>
              </c:strCache>
            </c:strRef>
          </c:cat>
          <c:val>
            <c:numRef>
              <c:f>EnergiePlyn21!$I$33:$J$33</c:f>
              <c:numCache>
                <c:formatCode>General</c:formatCode>
                <c:ptCount val="2"/>
                <c:pt idx="0" formatCode="0.0">
                  <c:v>42.239999999999995</c:v>
                </c:pt>
                <c:pt idx="1">
                  <c:v>12.4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4-466F-B16B-2F0794169E74}"/>
            </c:ext>
          </c:extLst>
        </c:ser>
        <c:ser>
          <c:idx val="1"/>
          <c:order val="1"/>
          <c:tx>
            <c:strRef>
              <c:f>EnergiePlyn21!$H$34</c:f>
              <c:strCache>
                <c:ptCount val="1"/>
                <c:pt idx="0">
                  <c:v>Plyn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EnergiePlyn21!$I$32:$J$32</c:f>
              <c:strCache>
                <c:ptCount val="2"/>
                <c:pt idx="0">
                  <c:v>Dilna1</c:v>
                </c:pt>
                <c:pt idx="1">
                  <c:v>Vez</c:v>
                </c:pt>
              </c:strCache>
            </c:strRef>
          </c:cat>
          <c:val>
            <c:numRef>
              <c:f>EnergiePlyn21!$I$34:$J$34</c:f>
              <c:numCache>
                <c:formatCode>General</c:formatCode>
                <c:ptCount val="2"/>
                <c:pt idx="0" formatCode="0.0">
                  <c:v>26.7</c:v>
                </c:pt>
                <c:pt idx="1">
                  <c:v>3.5999999999999996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84-466F-B16B-2F0794169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225680"/>
        <c:axId val="578229944"/>
      </c:lineChart>
      <c:catAx>
        <c:axId val="5782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229944"/>
        <c:crosses val="autoZero"/>
        <c:auto val="1"/>
        <c:lblAlgn val="ctr"/>
        <c:lblOffset val="100"/>
        <c:noMultiLvlLbl val="0"/>
      </c:catAx>
      <c:valAx>
        <c:axId val="578229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22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Workshop</a:t>
            </a:r>
            <a:r>
              <a:rPr lang="cs-CZ"/>
              <a:t> </a:t>
            </a:r>
            <a:r>
              <a:rPr lang="en-US"/>
              <a:t>2023  - CO</a:t>
            </a:r>
            <a:r>
              <a:rPr lang="en-US" baseline="-25000"/>
              <a:t>2</a:t>
            </a:r>
            <a:r>
              <a:rPr lang="en-US"/>
              <a:t> 108</a:t>
            </a:r>
            <a:r>
              <a:rPr lang="cs-CZ"/>
              <a:t> t</a:t>
            </a:r>
            <a:r>
              <a:rPr lang="en-US"/>
              <a:t>  </a:t>
            </a:r>
          </a:p>
        </c:rich>
      </c:tx>
      <c:layout>
        <c:manualLayout>
          <c:xMode val="edge"/>
          <c:yMode val="edge"/>
          <c:x val="0.2506804832010136"/>
          <c:y val="4.904630286561129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816407164324441E-2"/>
          <c:y val="0.19426825387630273"/>
          <c:w val="0.59551612156019951"/>
          <c:h val="0.7394253149415830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767-49CE-9F3F-FC28E20DDEF1}"/>
              </c:ext>
            </c:extLst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767-49CE-9F3F-FC28E20DDEF1}"/>
              </c:ext>
            </c:extLst>
          </c:dPt>
          <c:dPt>
            <c:idx val="2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767-49CE-9F3F-FC28E20DDEF1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767-49CE-9F3F-FC28E20DDEF1}"/>
              </c:ext>
            </c:extLst>
          </c:dPt>
          <c:dPt>
            <c:idx val="4"/>
            <c:bubble3D val="0"/>
            <c:spPr>
              <a:solidFill>
                <a:srgbClr val="FFAF7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767-49CE-9F3F-FC28E20DDEF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767-49CE-9F3F-FC28E20DDEF1}"/>
              </c:ext>
            </c:extLst>
          </c:dPt>
          <c:dPt>
            <c:idx val="6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767-49CE-9F3F-FC28E20DDEF1}"/>
              </c:ext>
            </c:extLst>
          </c:dPt>
          <c:dLbls>
            <c:dLbl>
              <c:idx val="0"/>
              <c:layout>
                <c:manualLayout>
                  <c:x val="-0.14048974873303721"/>
                  <c:y val="0.15713582245945565"/>
                </c:manualLayout>
              </c:layout>
              <c:tx>
                <c:rich>
                  <a:bodyPr/>
                  <a:lstStyle/>
                  <a:p>
                    <a:fld id="{BADFCCC7-EB99-405F-BC28-59D9407AB9CE}" type="VALUE">
                      <a:rPr lang="en-US"/>
                      <a:pPr/>
                      <a:t>[VALUE]</a:t>
                    </a:fld>
                    <a:r>
                      <a:rPr lang="en-US" baseline="0"/>
                      <a:t>,</a:t>
                    </a:r>
                  </a:p>
                  <a:p>
                    <a:r>
                      <a:rPr lang="en-US" baseline="0"/>
                      <a:t> </a:t>
                    </a:r>
                    <a:fld id="{C5F3B02F-9A2D-42AC-BCBF-3FACB706AE49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767-49CE-9F3F-FC28E20DDEF1}"/>
                </c:ext>
              </c:extLst>
            </c:dLbl>
            <c:dLbl>
              <c:idx val="1"/>
              <c:layout>
                <c:manualLayout>
                  <c:x val="4.7646572394967626E-2"/>
                  <c:y val="-0.20396758099730555"/>
                </c:manualLayout>
              </c:layout>
              <c:tx>
                <c:rich>
                  <a:bodyPr/>
                  <a:lstStyle/>
                  <a:p>
                    <a:fld id="{1A2B686D-C5CC-43E2-8919-AD52472AC5ED}" type="VALUE">
                      <a:rPr lang="en-US"/>
                      <a:pPr/>
                      <a:t>[VALUE]</a:t>
                    </a:fld>
                    <a:r>
                      <a:rPr lang="en-US" baseline="0"/>
                      <a:t>, </a:t>
                    </a:r>
                  </a:p>
                  <a:p>
                    <a:fld id="{AF03A178-23FA-441E-8FB6-0372E330A038}" type="PERCENTAGE">
                      <a:rPr lang="en-US" baseline="0"/>
                      <a:pPr/>
                      <a:t>[PERCENTAGE]</a:t>
                    </a:fld>
                    <a:endParaRPr lang="en-US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767-49CE-9F3F-FC28E20DDEF1}"/>
                </c:ext>
              </c:extLst>
            </c:dLbl>
            <c:dLbl>
              <c:idx val="2"/>
              <c:layout>
                <c:manualLayout>
                  <c:x val="4.6732527134373453E-2"/>
                  <c:y val="6.6688474578721707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7-49CE-9F3F-FC28E20DDEF1}"/>
                </c:ext>
              </c:extLst>
            </c:dLbl>
            <c:dLbl>
              <c:idx val="3"/>
              <c:layout>
                <c:manualLayout>
                  <c:x val="0.16743123289960107"/>
                  <c:y val="0.19898141387561538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67-49CE-9F3F-FC28E20DDEF1}"/>
                </c:ext>
              </c:extLst>
            </c:dLbl>
            <c:dLbl>
              <c:idx val="4"/>
              <c:layout>
                <c:manualLayout>
                  <c:x val="0.16912522539457103"/>
                  <c:y val="0.2992741941313823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67-49CE-9F3F-FC28E20DDEF1}"/>
                </c:ext>
              </c:extLst>
            </c:dLbl>
            <c:dLbl>
              <c:idx val="5"/>
              <c:layout>
                <c:manualLayout>
                  <c:x val="0.17026587856889239"/>
                  <c:y val="9.7808124109911881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67-49CE-9F3F-FC28E20DDEF1}"/>
                </c:ext>
              </c:extLst>
            </c:dLbl>
            <c:dLbl>
              <c:idx val="6"/>
              <c:layout>
                <c:manualLayout>
                  <c:x val="6.1190935156237344E-2"/>
                  <c:y val="1.895139796566605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67-49CE-9F3F-FC28E20DDEF1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'GRAPHS 23'!$A$3:$A$9</c:f>
              <c:strCache>
                <c:ptCount val="7"/>
                <c:pt idx="0">
                  <c:v>Auta</c:v>
                </c:pt>
                <c:pt idx="1">
                  <c:v>El. Energie</c:v>
                </c:pt>
                <c:pt idx="2">
                  <c:v>Plyn</c:v>
                </c:pt>
                <c:pt idx="3">
                  <c:v>Obaly</c:v>
                </c:pt>
                <c:pt idx="4">
                  <c:v>Z odpadu</c:v>
                </c:pt>
                <c:pt idx="5">
                  <c:v>Drevo</c:v>
                </c:pt>
                <c:pt idx="6">
                  <c:v>Doprava</c:v>
                </c:pt>
              </c:strCache>
            </c:strRef>
          </c:cat>
          <c:val>
            <c:numRef>
              <c:f>'GRAPHS 23'!$B$3:$B$9</c:f>
              <c:numCache>
                <c:formatCode>0</c:formatCode>
                <c:ptCount val="7"/>
                <c:pt idx="0">
                  <c:v>18018.349000000002</c:v>
                </c:pt>
                <c:pt idx="1">
                  <c:v>67906.8</c:v>
                </c:pt>
                <c:pt idx="2">
                  <c:v>6080</c:v>
                </c:pt>
                <c:pt idx="3">
                  <c:v>126.70507257444346</c:v>
                </c:pt>
                <c:pt idx="4">
                  <c:v>328.84575893518303</c:v>
                </c:pt>
                <c:pt idx="5" formatCode="0.000">
                  <c:v>0.70900995709544123</c:v>
                </c:pt>
                <c:pt idx="6">
                  <c:v>16058.318971356637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767-49CE-9F3F-FC28E20DDEF1}"/>
            </c:ext>
          </c:extLst>
        </c:ser>
        <c:dLbls>
          <c:dLblPos val="ctr"/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08427406584054"/>
          <c:y val="0.24119729790435432"/>
          <c:w val="0.24180614313435334"/>
          <c:h val="0.63518408046712671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050065892369"/>
          <c:y val="0.26255016955404004"/>
          <c:w val="0.53814798279368725"/>
          <c:h val="0.65309144824883691"/>
        </c:manualLayout>
      </c:layout>
      <c:pieChart>
        <c:varyColors val="1"/>
        <c:ser>
          <c:idx val="0"/>
          <c:order val="0"/>
          <c:spPr>
            <a:solidFill>
              <a:srgbClr val="00B0F0"/>
            </a:solidFill>
            <a:ln>
              <a:solidFill>
                <a:srgbClr val="FFFF00"/>
              </a:solidFill>
            </a:ln>
          </c:spPr>
          <c:explosion val="19"/>
          <c:dPt>
            <c:idx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63CA-4C88-9454-A9FF602E812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Odpady21!$D$4:$E$4</c:f>
              <c:strCache>
                <c:ptCount val="2"/>
                <c:pt idx="0">
                  <c:v>Plasty</c:v>
                </c:pt>
                <c:pt idx="1">
                  <c:v>Papir</c:v>
                </c:pt>
              </c:strCache>
            </c:strRef>
          </c:cat>
          <c:val>
            <c:numRef>
              <c:f>Odpady21!$D$5:$E$5</c:f>
              <c:numCache>
                <c:formatCode>0.000</c:formatCode>
                <c:ptCount val="2"/>
                <c:pt idx="0">
                  <c:v>0.28649999999999998</c:v>
                </c:pt>
                <c:pt idx="1">
                  <c:v>0.80820000000000003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CA-4C88-9454-A9FF602E8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Podíl  odeslan</a:t>
            </a:r>
            <a:r>
              <a:rPr lang="cs-CZ"/>
              <a:t>é</a:t>
            </a:r>
            <a:r>
              <a:rPr lang="cs-CZ" baseline="0"/>
              <a:t> hmotnosti </a:t>
            </a:r>
            <a:r>
              <a:rPr lang="en-US"/>
              <a:t>2023 </a:t>
            </a:r>
          </a:p>
        </c:rich>
      </c:tx>
      <c:layout>
        <c:manualLayout>
          <c:xMode val="edge"/>
          <c:yMode val="edge"/>
          <c:x val="0.21313875920191505"/>
          <c:y val="3.18530183727034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14863928835582"/>
          <c:y val="0.21119373609422121"/>
          <c:w val="0.56424280035277152"/>
          <c:h val="0.71126539912497833"/>
        </c:manualLayout>
      </c:layout>
      <c:pieChart>
        <c:varyColors val="1"/>
        <c:ser>
          <c:idx val="0"/>
          <c:order val="0"/>
          <c:tx>
            <c:strRef>
              <c:f>Zeme21!$C$13:$C$16</c:f>
              <c:strCache>
                <c:ptCount val="4"/>
                <c:pt idx="0">
                  <c:v>Podíl  odeslane hmotnosti</c:v>
                </c:pt>
                <c:pt idx="1">
                  <c:v>2023</c:v>
                </c:pt>
                <c:pt idx="2">
                  <c:v>Hmotnost</c:v>
                </c:pt>
                <c:pt idx="3">
                  <c:v>koeficient</c:v>
                </c:pt>
              </c:strCache>
            </c:strRef>
          </c:tx>
          <c:dPt>
            <c:idx val="0"/>
            <c:bubble3D val="0"/>
            <c:explosion val="13"/>
            <c:extLst>
              <c:ext xmlns:c16="http://schemas.microsoft.com/office/drawing/2014/chart" uri="{C3380CC4-5D6E-409C-BE32-E72D297353CC}">
                <c16:uniqueId val="{00000001-99B7-4240-8E19-8FB2796A282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Zeme21!$B$17:$B$22</c:f>
              <c:strCache>
                <c:ptCount val="6"/>
                <c:pt idx="0">
                  <c:v>CZ</c:v>
                </c:pt>
                <c:pt idx="1">
                  <c:v>DE</c:v>
                </c:pt>
                <c:pt idx="2">
                  <c:v>PL</c:v>
                </c:pt>
                <c:pt idx="3">
                  <c:v>HU</c:v>
                </c:pt>
                <c:pt idx="4">
                  <c:v>SK</c:v>
                </c:pt>
                <c:pt idx="5">
                  <c:v>Jiné</c:v>
                </c:pt>
              </c:strCache>
            </c:strRef>
          </c:cat>
          <c:val>
            <c:numRef>
              <c:f>Zeme21!$C$17:$C$22</c:f>
              <c:numCache>
                <c:formatCode>0.000</c:formatCode>
                <c:ptCount val="6"/>
                <c:pt idx="0">
                  <c:v>0.42386464826357967</c:v>
                </c:pt>
                <c:pt idx="1">
                  <c:v>0.20777678836449984</c:v>
                </c:pt>
                <c:pt idx="2">
                  <c:v>0.24042742653606414</c:v>
                </c:pt>
                <c:pt idx="3">
                  <c:v>9.8248738498070642E-2</c:v>
                </c:pt>
                <c:pt idx="4">
                  <c:v>2.9682398337785694E-2</c:v>
                </c:pt>
                <c:pt idx="5">
                  <c:v>4.0266106442577033E-2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B7-4240-8E19-8FB2796A282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9533751486637549"/>
          <c:y val="0.26320847175916423"/>
          <c:w val="0.1176637366237423"/>
          <c:h val="0.66316194686190533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600" baseline="0">
                <a:solidFill>
                  <a:sysClr val="windowText" lastClr="000000"/>
                </a:solidFill>
              </a:rPr>
              <a:t>Workshop </a:t>
            </a:r>
            <a:r>
              <a:rPr lang="en-US" sz="1600" baseline="0">
                <a:solidFill>
                  <a:sysClr val="windowText" lastClr="000000"/>
                </a:solidFill>
              </a:rPr>
              <a:t>Auta 18</a:t>
            </a:r>
            <a:r>
              <a:rPr lang="cs-CZ" sz="1600">
                <a:solidFill>
                  <a:sysClr val="windowText" lastClr="000000"/>
                </a:solidFill>
              </a:rPr>
              <a:t> </a:t>
            </a:r>
            <a:r>
              <a:rPr lang="en-US" sz="1600">
                <a:solidFill>
                  <a:sysClr val="windowText" lastClr="000000"/>
                </a:solidFill>
              </a:rPr>
              <a:t>t CO</a:t>
            </a:r>
            <a:r>
              <a:rPr lang="en-US" sz="1600" baseline="-25000">
                <a:solidFill>
                  <a:sysClr val="windowText" lastClr="000000"/>
                </a:solidFill>
              </a:rPr>
              <a:t>2</a:t>
            </a:r>
          </a:p>
        </c:rich>
      </c:tx>
      <c:layout>
        <c:manualLayout>
          <c:xMode val="edge"/>
          <c:yMode val="edge"/>
          <c:x val="0.22478307637841949"/>
          <c:y val="8.13260365914671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700708923012532"/>
          <c:y val="0.27901234567901234"/>
          <c:w val="0.4828939405830085"/>
          <c:h val="0.67292164868280357"/>
        </c:manualLayout>
      </c:layout>
      <c:pieChart>
        <c:varyColors val="1"/>
        <c:ser>
          <c:idx val="0"/>
          <c:order val="0"/>
          <c:tx>
            <c:strRef>
              <c:f>Auta21!$H$2:$J$2</c:f>
              <c:strCache>
                <c:ptCount val="3"/>
                <c:pt idx="0">
                  <c:v>Dílna</c:v>
                </c:pt>
                <c:pt idx="1">
                  <c:v>Sales</c:v>
                </c:pt>
                <c:pt idx="2">
                  <c:v>Region</c:v>
                </c:pt>
              </c:strCache>
            </c:strRef>
          </c:tx>
          <c:dPt>
            <c:idx val="0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21-4328-8892-6E577A7C32F3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21-4328-8892-6E577A7C32F3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D21-4328-8892-6E577A7C32F3}"/>
              </c:ext>
            </c:extLst>
          </c:dPt>
          <c:dLbls>
            <c:dLbl>
              <c:idx val="0"/>
              <c:layout>
                <c:manualLayout>
                  <c:x val="-9.7452934662237034E-2"/>
                  <c:y val="0.2138825335512306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832779623477298"/>
                      <c:h val="0.253144654088050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D21-4328-8892-6E577A7C32F3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269102990033224"/>
                      <c:h val="0.179245283018867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D21-4328-8892-6E577A7C32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Auta21!$H$2:$J$2</c:f>
              <c:strCache>
                <c:ptCount val="3"/>
                <c:pt idx="0">
                  <c:v>Dílna</c:v>
                </c:pt>
                <c:pt idx="1">
                  <c:v>Sales</c:v>
                </c:pt>
                <c:pt idx="2">
                  <c:v>Region</c:v>
                </c:pt>
              </c:strCache>
            </c:strRef>
          </c:cat>
          <c:val>
            <c:numRef>
              <c:f>Auta21!$H$10:$J$10</c:f>
              <c:numCache>
                <c:formatCode>0</c:formatCode>
                <c:ptCount val="3"/>
                <c:pt idx="0">
                  <c:v>2100</c:v>
                </c:pt>
                <c:pt idx="1">
                  <c:v>11433.453000000001</c:v>
                </c:pt>
                <c:pt idx="2">
                  <c:v>9484.8960000000006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D21-4328-8892-6E577A7C32F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371412875716122"/>
          <c:y val="0.4039766255633141"/>
          <c:w val="0.18111422118746784"/>
          <c:h val="0.318398454910117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59896361897739"/>
          <c:y val="0.25955459080936066"/>
          <c:w val="0.53814798279368725"/>
          <c:h val="0.65309144824883736"/>
        </c:manualLayout>
      </c:layout>
      <c:pieChart>
        <c:varyColors val="1"/>
        <c:ser>
          <c:idx val="0"/>
          <c:order val="0"/>
          <c:spPr>
            <a:solidFill>
              <a:srgbClr val="00B0F0"/>
            </a:solidFill>
            <a:ln>
              <a:solidFill>
                <a:srgbClr val="FFFF00"/>
              </a:solidFill>
            </a:ln>
          </c:spPr>
          <c:explosion val="19"/>
          <c:dPt>
            <c:idx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350-42AB-A3D2-8CCFF68ECEDD}"/>
              </c:ext>
            </c:extLst>
          </c:dPt>
          <c:dLbls>
            <c:dLbl>
              <c:idx val="0"/>
              <c:layout>
                <c:manualLayout>
                  <c:x val="7.108659140676489E-2"/>
                  <c:y val="0.14079193456466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50-42AB-A3D2-8CCFF68ECEDD}"/>
                </c:ext>
              </c:extLst>
            </c:dLbl>
            <c:dLbl>
              <c:idx val="1"/>
              <c:layout>
                <c:manualLayout>
                  <c:x val="3.5955439631426274E-3"/>
                  <c:y val="-0.10068771767645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50-42AB-A3D2-8CCFF68ECE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Odpady21!$D$4:$E$4</c:f>
              <c:strCache>
                <c:ptCount val="2"/>
                <c:pt idx="0">
                  <c:v>Plasty</c:v>
                </c:pt>
                <c:pt idx="1">
                  <c:v>Papir</c:v>
                </c:pt>
              </c:strCache>
            </c:strRef>
          </c:cat>
          <c:val>
            <c:numRef>
              <c:f>Odpady21!$D$7:$E$7</c:f>
              <c:numCache>
                <c:formatCode>0.000</c:formatCode>
                <c:ptCount val="2"/>
                <c:pt idx="0">
                  <c:v>1.5078947368421081E-2</c:v>
                </c:pt>
                <c:pt idx="1">
                  <c:v>3.2328000000000001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50-42AB-A3D2-8CCFF68EC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Energie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EnergiePlyn21!$H$33</c:f>
              <c:strCache>
                <c:ptCount val="1"/>
                <c:pt idx="0">
                  <c:v>El. energie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EnergiePlyn21!$I$32:$J$32</c:f>
              <c:strCache>
                <c:ptCount val="2"/>
                <c:pt idx="0">
                  <c:v>Dilna1</c:v>
                </c:pt>
                <c:pt idx="1">
                  <c:v>Vez</c:v>
                </c:pt>
              </c:strCache>
            </c:strRef>
          </c:cat>
          <c:val>
            <c:numRef>
              <c:f>EnergiePlyn21!$I$33:$J$33</c:f>
              <c:numCache>
                <c:formatCode>General</c:formatCode>
                <c:ptCount val="2"/>
                <c:pt idx="0" formatCode="0.0">
                  <c:v>42.239999999999995</c:v>
                </c:pt>
                <c:pt idx="1">
                  <c:v>12.4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9A-44F1-9078-51C63A72AFFD}"/>
            </c:ext>
          </c:extLst>
        </c:ser>
        <c:ser>
          <c:idx val="1"/>
          <c:order val="1"/>
          <c:tx>
            <c:strRef>
              <c:f>EnergiePlyn21!$H$34</c:f>
              <c:strCache>
                <c:ptCount val="1"/>
                <c:pt idx="0">
                  <c:v>Plyn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EnergiePlyn21!$I$32:$J$32</c:f>
              <c:strCache>
                <c:ptCount val="2"/>
                <c:pt idx="0">
                  <c:v>Dilna1</c:v>
                </c:pt>
                <c:pt idx="1">
                  <c:v>Vez</c:v>
                </c:pt>
              </c:strCache>
            </c:strRef>
          </c:cat>
          <c:val>
            <c:numRef>
              <c:f>EnergiePlyn21!$I$34:$J$34</c:f>
              <c:numCache>
                <c:formatCode>General</c:formatCode>
                <c:ptCount val="2"/>
                <c:pt idx="0" formatCode="0.0">
                  <c:v>26.7</c:v>
                </c:pt>
                <c:pt idx="1">
                  <c:v>3.5999999999999996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9A-44F1-9078-51C63A72A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225680"/>
        <c:axId val="578229944"/>
      </c:lineChart>
      <c:catAx>
        <c:axId val="5782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229944"/>
        <c:crosses val="autoZero"/>
        <c:auto val="1"/>
        <c:lblAlgn val="ctr"/>
        <c:lblOffset val="100"/>
        <c:noMultiLvlLbl val="0"/>
      </c:catAx>
      <c:valAx>
        <c:axId val="578229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22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600" baseline="0">
                <a:solidFill>
                  <a:sysClr val="windowText" lastClr="000000"/>
                </a:solidFill>
              </a:rPr>
              <a:t>Workshop </a:t>
            </a:r>
            <a:r>
              <a:rPr lang="en-US" sz="1600" baseline="0">
                <a:solidFill>
                  <a:sysClr val="windowText" lastClr="000000"/>
                </a:solidFill>
              </a:rPr>
              <a:t>Auta </a:t>
            </a:r>
            <a:r>
              <a:rPr lang="cs-CZ" sz="1600">
                <a:solidFill>
                  <a:sysClr val="windowText" lastClr="000000"/>
                </a:solidFill>
              </a:rPr>
              <a:t>2</a:t>
            </a:r>
            <a:r>
              <a:rPr lang="en-US" sz="1600">
                <a:solidFill>
                  <a:sysClr val="windowText" lastClr="000000"/>
                </a:solidFill>
              </a:rPr>
              <a:t>3</a:t>
            </a:r>
            <a:r>
              <a:rPr lang="cs-CZ" sz="1600">
                <a:solidFill>
                  <a:sysClr val="windowText" lastClr="000000"/>
                </a:solidFill>
              </a:rPr>
              <a:t> </a:t>
            </a:r>
            <a:r>
              <a:rPr lang="en-US" sz="1600">
                <a:solidFill>
                  <a:sysClr val="windowText" lastClr="000000"/>
                </a:solidFill>
              </a:rPr>
              <a:t>t CO</a:t>
            </a:r>
            <a:r>
              <a:rPr lang="en-US" sz="1600" baseline="-25000">
                <a:solidFill>
                  <a:sysClr val="windowText" lastClr="000000"/>
                </a:solidFill>
              </a:rPr>
              <a:t>2</a:t>
            </a:r>
          </a:p>
        </c:rich>
      </c:tx>
      <c:layout>
        <c:manualLayout>
          <c:xMode val="edge"/>
          <c:yMode val="edge"/>
          <c:x val="0.12308821862383483"/>
          <c:y val="5.3955646848491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700708923012532"/>
          <c:y val="0.27901234567901234"/>
          <c:w val="0.4828939405830085"/>
          <c:h val="0.67292164868280357"/>
        </c:manualLayout>
      </c:layout>
      <c:pieChart>
        <c:varyColors val="1"/>
        <c:ser>
          <c:idx val="0"/>
          <c:order val="0"/>
          <c:tx>
            <c:strRef>
              <c:f>Auta21!$H$2:$J$2</c:f>
              <c:strCache>
                <c:ptCount val="3"/>
                <c:pt idx="0">
                  <c:v>Dílna</c:v>
                </c:pt>
                <c:pt idx="1">
                  <c:v>Sales</c:v>
                </c:pt>
                <c:pt idx="2">
                  <c:v>Region</c:v>
                </c:pt>
              </c:strCache>
            </c:strRef>
          </c:tx>
          <c:dPt>
            <c:idx val="0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9A6-4094-A478-CD4BE1216F17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9A6-4094-A478-CD4BE1216F17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9A6-4094-A478-CD4BE1216F17}"/>
              </c:ext>
            </c:extLst>
          </c:dPt>
          <c:dLbls>
            <c:dLbl>
              <c:idx val="0"/>
              <c:layout>
                <c:manualLayout>
                  <c:x val="-9.7452934662237034E-2"/>
                  <c:y val="0.2138825335512306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832779623477298"/>
                      <c:h val="0.253144654088050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9A6-4094-A478-CD4BE1216F1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269102990033224"/>
                      <c:h val="0.179245283018867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F9A6-4094-A478-CD4BE1216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Auta21!$H$2:$J$2</c:f>
              <c:strCache>
                <c:ptCount val="3"/>
                <c:pt idx="0">
                  <c:v>Dílna</c:v>
                </c:pt>
                <c:pt idx="1">
                  <c:v>Sales</c:v>
                </c:pt>
                <c:pt idx="2">
                  <c:v>Region</c:v>
                </c:pt>
              </c:strCache>
            </c:strRef>
          </c:cat>
          <c:val>
            <c:numRef>
              <c:f>Auta21!$H$10:$J$10</c:f>
              <c:numCache>
                <c:formatCode>0</c:formatCode>
                <c:ptCount val="3"/>
                <c:pt idx="0">
                  <c:v>2100</c:v>
                </c:pt>
                <c:pt idx="1">
                  <c:v>11433.453000000001</c:v>
                </c:pt>
                <c:pt idx="2">
                  <c:v>9484.8960000000006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A6-4094-A478-CD4BE1216F1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371412875716122"/>
          <c:y val="0.4039766255633141"/>
          <c:w val="0.18111422118746784"/>
          <c:h val="0.318398454910117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050065892369"/>
          <c:y val="0.26255016955404004"/>
          <c:w val="0.53814798279368725"/>
          <c:h val="0.65309144824883691"/>
        </c:manualLayout>
      </c:layout>
      <c:pieChart>
        <c:varyColors val="1"/>
        <c:ser>
          <c:idx val="0"/>
          <c:order val="0"/>
          <c:spPr>
            <a:solidFill>
              <a:srgbClr val="00B0F0"/>
            </a:solidFill>
            <a:ln>
              <a:solidFill>
                <a:srgbClr val="FFFF00"/>
              </a:solidFill>
            </a:ln>
          </c:spPr>
          <c:explosion val="19"/>
          <c:dPt>
            <c:idx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64E0-4921-ABA7-6119E762F13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Odpady21!$D$4:$E$4</c:f>
              <c:strCache>
                <c:ptCount val="2"/>
                <c:pt idx="0">
                  <c:v>Plasty</c:v>
                </c:pt>
                <c:pt idx="1">
                  <c:v>Papir</c:v>
                </c:pt>
              </c:strCache>
            </c:strRef>
          </c:cat>
          <c:val>
            <c:numRef>
              <c:f>Odpady21!$D$5:$E$5</c:f>
              <c:numCache>
                <c:formatCode>0.000</c:formatCode>
                <c:ptCount val="2"/>
                <c:pt idx="0">
                  <c:v>0.28649999999999998</c:v>
                </c:pt>
                <c:pt idx="1">
                  <c:v>0.80820000000000003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E0-4921-ABA7-6119E762F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600" baseline="0">
                <a:solidFill>
                  <a:sysClr val="windowText" lastClr="000000"/>
                </a:solidFill>
              </a:rPr>
              <a:t>Workshop </a:t>
            </a:r>
            <a:r>
              <a:rPr lang="en-US" sz="1600" baseline="0">
                <a:solidFill>
                  <a:sysClr val="windowText" lastClr="000000"/>
                </a:solidFill>
              </a:rPr>
              <a:t>Auta </a:t>
            </a:r>
            <a:r>
              <a:rPr lang="cs-CZ" sz="1600">
                <a:solidFill>
                  <a:sysClr val="windowText" lastClr="000000"/>
                </a:solidFill>
              </a:rPr>
              <a:t>2</a:t>
            </a:r>
            <a:r>
              <a:rPr lang="en-US" sz="1600">
                <a:solidFill>
                  <a:sysClr val="windowText" lastClr="000000"/>
                </a:solidFill>
              </a:rPr>
              <a:t>0</a:t>
            </a:r>
            <a:r>
              <a:rPr lang="cs-CZ" sz="1600">
                <a:solidFill>
                  <a:sysClr val="windowText" lastClr="000000"/>
                </a:solidFill>
              </a:rPr>
              <a:t> </a:t>
            </a:r>
            <a:r>
              <a:rPr lang="en-US" sz="1600">
                <a:solidFill>
                  <a:sysClr val="windowText" lastClr="000000"/>
                </a:solidFill>
              </a:rPr>
              <a:t>t CO</a:t>
            </a:r>
            <a:r>
              <a:rPr lang="en-US" sz="1600" baseline="-25000">
                <a:solidFill>
                  <a:sysClr val="windowText" lastClr="000000"/>
                </a:solidFill>
              </a:rPr>
              <a:t>2</a:t>
            </a:r>
          </a:p>
        </c:rich>
      </c:tx>
      <c:layout>
        <c:manualLayout>
          <c:xMode val="edge"/>
          <c:yMode val="edge"/>
          <c:x val="0.12308821862383483"/>
          <c:y val="5.3955646848491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700708923012532"/>
          <c:y val="0.27901234567901234"/>
          <c:w val="0.4828939405830085"/>
          <c:h val="0.67292164868280357"/>
        </c:manualLayout>
      </c:layout>
      <c:pieChart>
        <c:varyColors val="1"/>
        <c:ser>
          <c:idx val="0"/>
          <c:order val="0"/>
          <c:tx>
            <c:strRef>
              <c:f>Auta22!$H$2:$J$2</c:f>
              <c:strCache>
                <c:ptCount val="3"/>
                <c:pt idx="0">
                  <c:v>Dílna</c:v>
                </c:pt>
                <c:pt idx="1">
                  <c:v>Sales</c:v>
                </c:pt>
                <c:pt idx="2">
                  <c:v>Region</c:v>
                </c:pt>
              </c:strCache>
            </c:strRef>
          </c:tx>
          <c:dPt>
            <c:idx val="0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743-4611-AB40-2DACD870B167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743-4611-AB40-2DACD870B167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743-4611-AB40-2DACD870B167}"/>
              </c:ext>
            </c:extLst>
          </c:dPt>
          <c:dLbls>
            <c:dLbl>
              <c:idx val="0"/>
              <c:layout>
                <c:manualLayout>
                  <c:x val="-9.7452934662237034E-2"/>
                  <c:y val="0.2138825335512306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832779623477298"/>
                      <c:h val="0.253144654088050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743-4611-AB40-2DACD870B16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269102990033224"/>
                      <c:h val="0.179245283018867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743-4611-AB40-2DACD870B1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Auta22!$H$2:$J$2</c:f>
              <c:strCache>
                <c:ptCount val="3"/>
                <c:pt idx="0">
                  <c:v>Dílna</c:v>
                </c:pt>
                <c:pt idx="1">
                  <c:v>Sales</c:v>
                </c:pt>
                <c:pt idx="2">
                  <c:v>Region</c:v>
                </c:pt>
              </c:strCache>
            </c:strRef>
          </c:cat>
          <c:val>
            <c:numRef>
              <c:f>Auta22!$H$10:$J$10</c:f>
              <c:numCache>
                <c:formatCode>0</c:formatCode>
                <c:ptCount val="3"/>
                <c:pt idx="0">
                  <c:v>2100</c:v>
                </c:pt>
                <c:pt idx="1">
                  <c:v>10433.453000000001</c:v>
                </c:pt>
                <c:pt idx="2">
                  <c:v>7484.8960000000006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43-4611-AB40-2DACD870B16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371412875716122"/>
          <c:y val="0.4039766255633141"/>
          <c:w val="0.18111422118746784"/>
          <c:h val="0.318398454910117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600" baseline="0">
                <a:solidFill>
                  <a:sysClr val="windowText" lastClr="000000"/>
                </a:solidFill>
              </a:rPr>
              <a:t>Workshop </a:t>
            </a:r>
            <a:r>
              <a:rPr lang="en-US" sz="1600" baseline="0">
                <a:solidFill>
                  <a:sysClr val="windowText" lastClr="000000"/>
                </a:solidFill>
              </a:rPr>
              <a:t>Auta </a:t>
            </a:r>
            <a:r>
              <a:rPr lang="cs-CZ" sz="1600">
                <a:solidFill>
                  <a:sysClr val="windowText" lastClr="000000"/>
                </a:solidFill>
              </a:rPr>
              <a:t>2</a:t>
            </a:r>
            <a:r>
              <a:rPr lang="en-US" sz="1600">
                <a:solidFill>
                  <a:sysClr val="windowText" lastClr="000000"/>
                </a:solidFill>
              </a:rPr>
              <a:t>3</a:t>
            </a:r>
            <a:r>
              <a:rPr lang="cs-CZ" sz="1600">
                <a:solidFill>
                  <a:sysClr val="windowText" lastClr="000000"/>
                </a:solidFill>
              </a:rPr>
              <a:t> </a:t>
            </a:r>
            <a:r>
              <a:rPr lang="en-US" sz="1600">
                <a:solidFill>
                  <a:sysClr val="windowText" lastClr="000000"/>
                </a:solidFill>
              </a:rPr>
              <a:t>t CO</a:t>
            </a:r>
            <a:r>
              <a:rPr lang="en-US" sz="1600" baseline="-25000">
                <a:solidFill>
                  <a:sysClr val="windowText" lastClr="000000"/>
                </a:solidFill>
              </a:rPr>
              <a:t>2</a:t>
            </a:r>
          </a:p>
        </c:rich>
      </c:tx>
      <c:layout>
        <c:manualLayout>
          <c:xMode val="edge"/>
          <c:yMode val="edge"/>
          <c:x val="0.12308821862383483"/>
          <c:y val="5.3955646848491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700708923012532"/>
          <c:y val="0.27901234567901234"/>
          <c:w val="0.4828939405830085"/>
          <c:h val="0.67292164868280357"/>
        </c:manualLayout>
      </c:layout>
      <c:pieChart>
        <c:varyColors val="1"/>
        <c:ser>
          <c:idx val="0"/>
          <c:order val="0"/>
          <c:tx>
            <c:strRef>
              <c:f>Auta23!$H$2:$J$2</c:f>
              <c:strCache>
                <c:ptCount val="3"/>
                <c:pt idx="0">
                  <c:v>Dílna</c:v>
                </c:pt>
                <c:pt idx="1">
                  <c:v>Sales</c:v>
                </c:pt>
                <c:pt idx="2">
                  <c:v>Region</c:v>
                </c:pt>
              </c:strCache>
            </c:strRef>
          </c:tx>
          <c:dPt>
            <c:idx val="0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88E-4B7E-8C1A-C1734744A56F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88E-4B7E-8C1A-C1734744A56F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88E-4B7E-8C1A-C1734744A56F}"/>
              </c:ext>
            </c:extLst>
          </c:dPt>
          <c:dLbls>
            <c:dLbl>
              <c:idx val="0"/>
              <c:layout>
                <c:manualLayout>
                  <c:x val="-9.7452934662237034E-2"/>
                  <c:y val="0.2138825335512306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832779623477298"/>
                      <c:h val="0.253144654088050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88E-4B7E-8C1A-C1734744A56F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269102990033224"/>
                      <c:h val="0.179245283018867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88E-4B7E-8C1A-C1734744A5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Auta23!$H$2:$J$2</c:f>
              <c:strCache>
                <c:ptCount val="3"/>
                <c:pt idx="0">
                  <c:v>Dílna</c:v>
                </c:pt>
                <c:pt idx="1">
                  <c:v>Sales</c:v>
                </c:pt>
                <c:pt idx="2">
                  <c:v>Region</c:v>
                </c:pt>
              </c:strCache>
            </c:strRef>
          </c:cat>
          <c:val>
            <c:numRef>
              <c:f>Auta23!$H$10:$J$10</c:f>
              <c:numCache>
                <c:formatCode>0</c:formatCode>
                <c:ptCount val="3"/>
                <c:pt idx="0">
                  <c:v>3100</c:v>
                </c:pt>
                <c:pt idx="1">
                  <c:v>9433.4530000000013</c:v>
                </c:pt>
                <c:pt idx="2">
                  <c:v>5484.8960000000006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8E-4B7E-8C1A-C1734744A56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371412875716122"/>
          <c:y val="0.4039766255633141"/>
          <c:w val="0.18111422118746784"/>
          <c:h val="0.318398454910117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Energie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EnergiePlyn21!$H$33</c:f>
              <c:strCache>
                <c:ptCount val="1"/>
                <c:pt idx="0">
                  <c:v>El. energie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EnergiePlyn21!$I$32:$J$32</c:f>
              <c:strCache>
                <c:ptCount val="2"/>
                <c:pt idx="0">
                  <c:v>Dilna1</c:v>
                </c:pt>
                <c:pt idx="1">
                  <c:v>Vez</c:v>
                </c:pt>
              </c:strCache>
            </c:strRef>
          </c:cat>
          <c:val>
            <c:numRef>
              <c:f>EnergiePlyn21!$I$33:$J$33</c:f>
              <c:numCache>
                <c:formatCode>General</c:formatCode>
                <c:ptCount val="2"/>
                <c:pt idx="0" formatCode="0.0">
                  <c:v>42.239999999999995</c:v>
                </c:pt>
                <c:pt idx="1">
                  <c:v>12.4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6F-457E-9AEC-51486C211233}"/>
            </c:ext>
          </c:extLst>
        </c:ser>
        <c:ser>
          <c:idx val="1"/>
          <c:order val="1"/>
          <c:tx>
            <c:strRef>
              <c:f>EnergiePlyn21!$H$34</c:f>
              <c:strCache>
                <c:ptCount val="1"/>
                <c:pt idx="0">
                  <c:v>Plyn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EnergiePlyn21!$I$32:$J$32</c:f>
              <c:strCache>
                <c:ptCount val="2"/>
                <c:pt idx="0">
                  <c:v>Dilna1</c:v>
                </c:pt>
                <c:pt idx="1">
                  <c:v>Vez</c:v>
                </c:pt>
              </c:strCache>
            </c:strRef>
          </c:cat>
          <c:val>
            <c:numRef>
              <c:f>EnergiePlyn21!$I$34:$J$34</c:f>
              <c:numCache>
                <c:formatCode>General</c:formatCode>
                <c:ptCount val="2"/>
                <c:pt idx="0" formatCode="0.0">
                  <c:v>26.7</c:v>
                </c:pt>
                <c:pt idx="1">
                  <c:v>3.5999999999999996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6F-457E-9AEC-51486C211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225680"/>
        <c:axId val="578229944"/>
      </c:lineChart>
      <c:catAx>
        <c:axId val="5782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229944"/>
        <c:crosses val="autoZero"/>
        <c:auto val="1"/>
        <c:lblAlgn val="ctr"/>
        <c:lblOffset val="100"/>
        <c:noMultiLvlLbl val="0"/>
      </c:catAx>
      <c:valAx>
        <c:axId val="578229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22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Energie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EnergiePlyn22!$H$33</c:f>
              <c:strCache>
                <c:ptCount val="1"/>
                <c:pt idx="0">
                  <c:v>El. energie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EnergiePlyn22!$I$32:$J$32</c:f>
              <c:strCache>
                <c:ptCount val="2"/>
                <c:pt idx="0">
                  <c:v>Dilna1</c:v>
                </c:pt>
                <c:pt idx="1">
                  <c:v>Vez</c:v>
                </c:pt>
              </c:strCache>
            </c:strRef>
          </c:cat>
          <c:val>
            <c:numRef>
              <c:f>EnergiePlyn22!$I$33:$J$33</c:f>
              <c:numCache>
                <c:formatCode>General</c:formatCode>
                <c:ptCount val="2"/>
                <c:pt idx="0" formatCode="0.0">
                  <c:v>43.269999999999996</c:v>
                </c:pt>
                <c:pt idx="1">
                  <c:v>12.4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D-49BD-9C96-1D56926E9C73}"/>
            </c:ext>
          </c:extLst>
        </c:ser>
        <c:ser>
          <c:idx val="1"/>
          <c:order val="1"/>
          <c:tx>
            <c:strRef>
              <c:f>EnergiePlyn22!$H$34</c:f>
              <c:strCache>
                <c:ptCount val="1"/>
                <c:pt idx="0">
                  <c:v>Plyn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EnergiePlyn22!$I$32:$J$32</c:f>
              <c:strCache>
                <c:ptCount val="2"/>
                <c:pt idx="0">
                  <c:v>Dilna1</c:v>
                </c:pt>
                <c:pt idx="1">
                  <c:v>Vez</c:v>
                </c:pt>
              </c:strCache>
            </c:strRef>
          </c:cat>
          <c:val>
            <c:numRef>
              <c:f>EnergiePlyn22!$I$34:$J$34</c:f>
              <c:numCache>
                <c:formatCode>General</c:formatCode>
                <c:ptCount val="2"/>
                <c:pt idx="0" formatCode="0.0">
                  <c:v>26.7</c:v>
                </c:pt>
                <c:pt idx="1">
                  <c:v>3.6999999999999997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D-49BD-9C96-1D56926E9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225680"/>
        <c:axId val="578229944"/>
      </c:lineChart>
      <c:catAx>
        <c:axId val="5782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229944"/>
        <c:crosses val="autoZero"/>
        <c:auto val="1"/>
        <c:lblAlgn val="ctr"/>
        <c:lblOffset val="100"/>
        <c:noMultiLvlLbl val="0"/>
      </c:catAx>
      <c:valAx>
        <c:axId val="578229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22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Energie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EnergiePlyn23!$H$33</c:f>
              <c:strCache>
                <c:ptCount val="1"/>
                <c:pt idx="0">
                  <c:v>El. energie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EnergiePlyn23!$I$32:$J$32</c:f>
              <c:strCache>
                <c:ptCount val="2"/>
                <c:pt idx="0">
                  <c:v>Dilna1</c:v>
                </c:pt>
                <c:pt idx="1">
                  <c:v>Vez</c:v>
                </c:pt>
              </c:strCache>
            </c:strRef>
          </c:cat>
          <c:val>
            <c:numRef>
              <c:f>EnergiePlyn23!$I$33:$J$33</c:f>
              <c:numCache>
                <c:formatCode>General</c:formatCode>
                <c:ptCount val="2"/>
                <c:pt idx="0" formatCode="0.0">
                  <c:v>45.239999999999995</c:v>
                </c:pt>
                <c:pt idx="1">
                  <c:v>12.800000000000002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A-470F-89FF-238D84B88445}"/>
            </c:ext>
          </c:extLst>
        </c:ser>
        <c:ser>
          <c:idx val="1"/>
          <c:order val="1"/>
          <c:tx>
            <c:strRef>
              <c:f>EnergiePlyn23!$H$34</c:f>
              <c:strCache>
                <c:ptCount val="1"/>
                <c:pt idx="0">
                  <c:v>Plyn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EnergiePlyn23!$I$32:$J$32</c:f>
              <c:strCache>
                <c:ptCount val="2"/>
                <c:pt idx="0">
                  <c:v>Dilna1</c:v>
                </c:pt>
                <c:pt idx="1">
                  <c:v>Vez</c:v>
                </c:pt>
              </c:strCache>
            </c:strRef>
          </c:cat>
          <c:val>
            <c:numRef>
              <c:f>EnergiePlyn23!$I$34:$J$34</c:f>
              <c:numCache>
                <c:formatCode>General</c:formatCode>
                <c:ptCount val="2"/>
                <c:pt idx="0" formatCode="0.0">
                  <c:v>26.7</c:v>
                </c:pt>
                <c:pt idx="1">
                  <c:v>3.6999999999999997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A-470F-89FF-238D84B88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225680"/>
        <c:axId val="578229944"/>
      </c:lineChart>
      <c:catAx>
        <c:axId val="5782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229944"/>
        <c:crosses val="autoZero"/>
        <c:auto val="1"/>
        <c:lblAlgn val="ctr"/>
        <c:lblOffset val="100"/>
        <c:noMultiLvlLbl val="0"/>
      </c:catAx>
      <c:valAx>
        <c:axId val="578229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22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050065892369"/>
          <c:y val="0.26255016955404004"/>
          <c:w val="0.53814798279368725"/>
          <c:h val="0.65309144824883691"/>
        </c:manualLayout>
      </c:layout>
      <c:pieChart>
        <c:varyColors val="1"/>
        <c:ser>
          <c:idx val="0"/>
          <c:order val="0"/>
          <c:spPr>
            <a:solidFill>
              <a:srgbClr val="00B0F0"/>
            </a:solidFill>
            <a:ln>
              <a:solidFill>
                <a:srgbClr val="FFFF00"/>
              </a:solidFill>
            </a:ln>
          </c:spPr>
          <c:explosion val="19"/>
          <c:dPt>
            <c:idx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211-40D0-8FAD-E32E3F6DE99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Odpady21!$D$4:$E$4</c:f>
              <c:strCache>
                <c:ptCount val="2"/>
                <c:pt idx="0">
                  <c:v>Plasty</c:v>
                </c:pt>
                <c:pt idx="1">
                  <c:v>Papir</c:v>
                </c:pt>
              </c:strCache>
            </c:strRef>
          </c:cat>
          <c:val>
            <c:numRef>
              <c:f>Odpady21!$D$5:$E$5</c:f>
              <c:numCache>
                <c:formatCode>0.000</c:formatCode>
                <c:ptCount val="2"/>
                <c:pt idx="0">
                  <c:v>0.28649999999999998</c:v>
                </c:pt>
                <c:pt idx="1">
                  <c:v>0.80820000000000003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11-40D0-8FAD-E32E3F6DE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59896361897739"/>
          <c:y val="0.25955459080936066"/>
          <c:w val="0.53814798279368725"/>
          <c:h val="0.65309144824883736"/>
        </c:manualLayout>
      </c:layout>
      <c:pieChart>
        <c:varyColors val="1"/>
        <c:ser>
          <c:idx val="0"/>
          <c:order val="0"/>
          <c:spPr>
            <a:solidFill>
              <a:srgbClr val="00B0F0"/>
            </a:solidFill>
            <a:ln>
              <a:solidFill>
                <a:srgbClr val="FFFF00"/>
              </a:solidFill>
            </a:ln>
          </c:spPr>
          <c:explosion val="19"/>
          <c:dPt>
            <c:idx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B93-4705-B93C-E168B51969F9}"/>
              </c:ext>
            </c:extLst>
          </c:dPt>
          <c:dLbls>
            <c:dLbl>
              <c:idx val="0"/>
              <c:layout>
                <c:manualLayout>
                  <c:x val="7.108659140676489E-2"/>
                  <c:y val="0.14079193456466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93-4705-B93C-E168B51969F9}"/>
                </c:ext>
              </c:extLst>
            </c:dLbl>
            <c:dLbl>
              <c:idx val="1"/>
              <c:layout>
                <c:manualLayout>
                  <c:x val="3.5955439631426274E-3"/>
                  <c:y val="-0.10068771767645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93-4705-B93C-E168B51969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Odpady21!$D$4:$E$4</c:f>
              <c:strCache>
                <c:ptCount val="2"/>
                <c:pt idx="0">
                  <c:v>Plasty</c:v>
                </c:pt>
                <c:pt idx="1">
                  <c:v>Papir</c:v>
                </c:pt>
              </c:strCache>
            </c:strRef>
          </c:cat>
          <c:val>
            <c:numRef>
              <c:f>Odpady21!$D$7:$E$7</c:f>
              <c:numCache>
                <c:formatCode>0.000</c:formatCode>
                <c:ptCount val="2"/>
                <c:pt idx="0">
                  <c:v>1.5078947368421081E-2</c:v>
                </c:pt>
                <c:pt idx="1">
                  <c:v>3.2328000000000001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93-4705-B93C-E168B5196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050065892369"/>
          <c:y val="0.26255016955404004"/>
          <c:w val="0.53814798279368725"/>
          <c:h val="0.65309144824883691"/>
        </c:manualLayout>
      </c:layout>
      <c:pieChart>
        <c:varyColors val="1"/>
        <c:ser>
          <c:idx val="0"/>
          <c:order val="0"/>
          <c:spPr>
            <a:solidFill>
              <a:srgbClr val="00B0F0"/>
            </a:solidFill>
            <a:ln>
              <a:solidFill>
                <a:srgbClr val="FFFF00"/>
              </a:solidFill>
            </a:ln>
          </c:spPr>
          <c:explosion val="19"/>
          <c:dPt>
            <c:idx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57B-4DCB-BB1D-C545165A570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Odpady22!$D$4:$E$4</c:f>
              <c:strCache>
                <c:ptCount val="2"/>
                <c:pt idx="0">
                  <c:v>Plasty</c:v>
                </c:pt>
                <c:pt idx="1">
                  <c:v>Papir</c:v>
                </c:pt>
              </c:strCache>
            </c:strRef>
          </c:cat>
          <c:val>
            <c:numRef>
              <c:f>Odpady22!$D$5:$E$5</c:f>
              <c:numCache>
                <c:formatCode>0.000</c:formatCode>
                <c:ptCount val="2"/>
                <c:pt idx="0">
                  <c:v>0.28649999999999998</c:v>
                </c:pt>
                <c:pt idx="1">
                  <c:v>0.80820000000000003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7B-4DCB-BB1D-C545165A5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59896361897739"/>
          <c:y val="0.25955459080936066"/>
          <c:w val="0.53814798279368725"/>
          <c:h val="0.65309144824883736"/>
        </c:manualLayout>
      </c:layout>
      <c:pieChart>
        <c:varyColors val="1"/>
        <c:ser>
          <c:idx val="0"/>
          <c:order val="0"/>
          <c:spPr>
            <a:solidFill>
              <a:srgbClr val="00B0F0"/>
            </a:solidFill>
            <a:ln>
              <a:solidFill>
                <a:srgbClr val="FFFF00"/>
              </a:solidFill>
            </a:ln>
          </c:spPr>
          <c:explosion val="19"/>
          <c:dPt>
            <c:idx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714-4C37-B45F-FD91D19B6B19}"/>
              </c:ext>
            </c:extLst>
          </c:dPt>
          <c:dLbls>
            <c:dLbl>
              <c:idx val="0"/>
              <c:layout>
                <c:manualLayout>
                  <c:x val="7.108659140676489E-2"/>
                  <c:y val="0.14079193456466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14-4C37-B45F-FD91D19B6B19}"/>
                </c:ext>
              </c:extLst>
            </c:dLbl>
            <c:dLbl>
              <c:idx val="1"/>
              <c:layout>
                <c:manualLayout>
                  <c:x val="3.5955439631426274E-3"/>
                  <c:y val="-0.10068771767645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14-4C37-B45F-FD91D19B6B1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Odpady22!$D$4:$E$4</c:f>
              <c:strCache>
                <c:ptCount val="2"/>
                <c:pt idx="0">
                  <c:v>Plasty</c:v>
                </c:pt>
                <c:pt idx="1">
                  <c:v>Papir</c:v>
                </c:pt>
              </c:strCache>
            </c:strRef>
          </c:cat>
          <c:val>
            <c:numRef>
              <c:f>Odpady22!$D$7:$E$7</c:f>
              <c:numCache>
                <c:formatCode>0.000</c:formatCode>
                <c:ptCount val="2"/>
                <c:pt idx="0">
                  <c:v>1.5078947368421081E-2</c:v>
                </c:pt>
                <c:pt idx="1">
                  <c:v>3.2328000000000001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14-4C37-B45F-FD91D19B6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050065892369"/>
          <c:y val="0.26255016955404004"/>
          <c:w val="0.53814798279368725"/>
          <c:h val="0.65309144824883691"/>
        </c:manualLayout>
      </c:layout>
      <c:pieChart>
        <c:varyColors val="1"/>
        <c:ser>
          <c:idx val="0"/>
          <c:order val="0"/>
          <c:spPr>
            <a:solidFill>
              <a:srgbClr val="00B0F0"/>
            </a:solidFill>
            <a:ln>
              <a:solidFill>
                <a:srgbClr val="FFFF00"/>
              </a:solidFill>
            </a:ln>
          </c:spPr>
          <c:explosion val="19"/>
          <c:dPt>
            <c:idx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621-4777-B16B-8C73EA3BA11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Odpady23!$D$4:$E$4</c:f>
              <c:strCache>
                <c:ptCount val="2"/>
                <c:pt idx="0">
                  <c:v>Plasty</c:v>
                </c:pt>
                <c:pt idx="1">
                  <c:v>Papir</c:v>
                </c:pt>
              </c:strCache>
            </c:strRef>
          </c:cat>
          <c:val>
            <c:numRef>
              <c:f>Odpady23!$D$5:$E$5</c:f>
              <c:numCache>
                <c:formatCode>0.000</c:formatCode>
                <c:ptCount val="2"/>
                <c:pt idx="0">
                  <c:v>0.28649999999999998</c:v>
                </c:pt>
                <c:pt idx="1">
                  <c:v>0.80820000000000003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21-4777-B16B-8C73EA3BA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Podíl  odeslan</a:t>
            </a:r>
            <a:r>
              <a:rPr lang="cs-CZ"/>
              <a:t>é</a:t>
            </a:r>
            <a:r>
              <a:rPr lang="cs-CZ" baseline="0"/>
              <a:t> hmotnosti </a:t>
            </a:r>
            <a:r>
              <a:rPr lang="en-US"/>
              <a:t>2021 </a:t>
            </a:r>
          </a:p>
        </c:rich>
      </c:tx>
      <c:layout>
        <c:manualLayout>
          <c:xMode val="edge"/>
          <c:yMode val="edge"/>
          <c:x val="0.14061171395746977"/>
          <c:y val="4.88744800766515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14863928835582"/>
          <c:y val="0.21119373609422121"/>
          <c:w val="0.56424280035277152"/>
          <c:h val="0.71126539912497833"/>
        </c:manualLayout>
      </c:layout>
      <c:pieChart>
        <c:varyColors val="1"/>
        <c:ser>
          <c:idx val="0"/>
          <c:order val="0"/>
          <c:tx>
            <c:strRef>
              <c:f>Zeme21!$C$13:$C$16</c:f>
              <c:strCache>
                <c:ptCount val="4"/>
                <c:pt idx="0">
                  <c:v>Podíl  odeslane hmotnosti</c:v>
                </c:pt>
                <c:pt idx="1">
                  <c:v>2023</c:v>
                </c:pt>
                <c:pt idx="2">
                  <c:v>Hmotnost</c:v>
                </c:pt>
                <c:pt idx="3">
                  <c:v>koeficient</c:v>
                </c:pt>
              </c:strCache>
            </c:strRef>
          </c:tx>
          <c:dPt>
            <c:idx val="0"/>
            <c:bubble3D val="0"/>
            <c:explosion val="13"/>
            <c:extLst>
              <c:ext xmlns:c16="http://schemas.microsoft.com/office/drawing/2014/chart" uri="{C3380CC4-5D6E-409C-BE32-E72D297353CC}">
                <c16:uniqueId val="{00000001-C043-4E48-A505-214C0BAF8E0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Zeme21!$B$17:$B$22</c:f>
              <c:strCache>
                <c:ptCount val="6"/>
                <c:pt idx="0">
                  <c:v>CZ</c:v>
                </c:pt>
                <c:pt idx="1">
                  <c:v>DE</c:v>
                </c:pt>
                <c:pt idx="2">
                  <c:v>PL</c:v>
                </c:pt>
                <c:pt idx="3">
                  <c:v>HU</c:v>
                </c:pt>
                <c:pt idx="4">
                  <c:v>SK</c:v>
                </c:pt>
                <c:pt idx="5">
                  <c:v>Jiné</c:v>
                </c:pt>
              </c:strCache>
            </c:strRef>
          </c:cat>
          <c:val>
            <c:numRef>
              <c:f>Zeme21!$C$17:$C$22</c:f>
              <c:numCache>
                <c:formatCode>0.000</c:formatCode>
                <c:ptCount val="6"/>
                <c:pt idx="0">
                  <c:v>0.42386464826357967</c:v>
                </c:pt>
                <c:pt idx="1">
                  <c:v>0.20777678836449984</c:v>
                </c:pt>
                <c:pt idx="2">
                  <c:v>0.24042742653606414</c:v>
                </c:pt>
                <c:pt idx="3">
                  <c:v>9.8248738498070642E-2</c:v>
                </c:pt>
                <c:pt idx="4">
                  <c:v>2.9682398337785694E-2</c:v>
                </c:pt>
                <c:pt idx="5">
                  <c:v>4.0266106442577033E-2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43-4E48-A505-214C0BAF8E0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9533751486637549"/>
          <c:y val="0.26320847175916423"/>
          <c:w val="0.1176637366237423"/>
          <c:h val="0.66316194686190533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59896361897739"/>
          <c:y val="0.25955459080936066"/>
          <c:w val="0.53814798279368725"/>
          <c:h val="0.65309144824883736"/>
        </c:manualLayout>
      </c:layout>
      <c:pieChart>
        <c:varyColors val="1"/>
        <c:ser>
          <c:idx val="0"/>
          <c:order val="0"/>
          <c:spPr>
            <a:solidFill>
              <a:srgbClr val="00B0F0"/>
            </a:solidFill>
            <a:ln>
              <a:solidFill>
                <a:srgbClr val="FFFF00"/>
              </a:solidFill>
            </a:ln>
          </c:spPr>
          <c:explosion val="19"/>
          <c:dPt>
            <c:idx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8B0-43CF-A514-22C969634DC2}"/>
              </c:ext>
            </c:extLst>
          </c:dPt>
          <c:dLbls>
            <c:dLbl>
              <c:idx val="0"/>
              <c:layout>
                <c:manualLayout>
                  <c:x val="7.108659140676489E-2"/>
                  <c:y val="0.14079193456466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B0-43CF-A514-22C969634DC2}"/>
                </c:ext>
              </c:extLst>
            </c:dLbl>
            <c:dLbl>
              <c:idx val="1"/>
              <c:layout>
                <c:manualLayout>
                  <c:x val="3.5955439631426274E-3"/>
                  <c:y val="-0.10068771767645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B0-43CF-A514-22C969634D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Odpady23!$D$4:$E$4</c:f>
              <c:strCache>
                <c:ptCount val="2"/>
                <c:pt idx="0">
                  <c:v>Plasty</c:v>
                </c:pt>
                <c:pt idx="1">
                  <c:v>Papir</c:v>
                </c:pt>
              </c:strCache>
            </c:strRef>
          </c:cat>
          <c:val>
            <c:numRef>
              <c:f>Odpady23!$D$7:$E$7</c:f>
              <c:numCache>
                <c:formatCode>0.000</c:formatCode>
                <c:ptCount val="2"/>
                <c:pt idx="0">
                  <c:v>1.5078947368421081E-2</c:v>
                </c:pt>
                <c:pt idx="1">
                  <c:v>3.2328000000000001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B0-43CF-A514-22C969634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Podíl distribuce</a:t>
            </a:r>
            <a:r>
              <a:rPr lang="en-US" baseline="0"/>
              <a:t> </a:t>
            </a:r>
            <a:r>
              <a:rPr lang="cs-CZ" baseline="0"/>
              <a:t>hmotnost </a:t>
            </a:r>
            <a:r>
              <a:rPr lang="en-US"/>
              <a:t>2021 </a:t>
            </a:r>
          </a:p>
        </c:rich>
      </c:tx>
      <c:layout>
        <c:manualLayout>
          <c:xMode val="edge"/>
          <c:yMode val="edge"/>
          <c:x val="0.13175289905299034"/>
          <c:y val="7.12087252451124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14863928835582"/>
          <c:y val="0.21119373609422121"/>
          <c:w val="0.56424280035277152"/>
          <c:h val="0.71126539912497833"/>
        </c:manualLayout>
      </c:layout>
      <c:pieChart>
        <c:varyColors val="1"/>
        <c:ser>
          <c:idx val="0"/>
          <c:order val="0"/>
          <c:tx>
            <c:strRef>
              <c:f>Zeme22!$C$13:$C$16</c:f>
              <c:strCache>
                <c:ptCount val="4"/>
                <c:pt idx="0">
                  <c:v>Podíl  odeslane hmotnosti</c:v>
                </c:pt>
                <c:pt idx="1">
                  <c:v>2021</c:v>
                </c:pt>
                <c:pt idx="2">
                  <c:v>Hmotnost</c:v>
                </c:pt>
                <c:pt idx="3">
                  <c:v>koeficient</c:v>
                </c:pt>
              </c:strCache>
            </c:strRef>
          </c:tx>
          <c:dPt>
            <c:idx val="0"/>
            <c:bubble3D val="0"/>
            <c:explosion val="13"/>
            <c:extLst>
              <c:ext xmlns:c16="http://schemas.microsoft.com/office/drawing/2014/chart" uri="{C3380CC4-5D6E-409C-BE32-E72D297353CC}">
                <c16:uniqueId val="{00000001-98BC-4ED7-A221-D2766FDADB3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Zeme22!$B$17:$B$22</c:f>
              <c:strCache>
                <c:ptCount val="6"/>
                <c:pt idx="0">
                  <c:v>CZ</c:v>
                </c:pt>
                <c:pt idx="1">
                  <c:v>DE</c:v>
                </c:pt>
                <c:pt idx="2">
                  <c:v>PL</c:v>
                </c:pt>
                <c:pt idx="3">
                  <c:v>HU</c:v>
                </c:pt>
                <c:pt idx="4">
                  <c:v>SK</c:v>
                </c:pt>
                <c:pt idx="5">
                  <c:v>Jiné</c:v>
                </c:pt>
              </c:strCache>
            </c:strRef>
          </c:cat>
          <c:val>
            <c:numRef>
              <c:f>Zeme22!$C$17:$C$22</c:f>
              <c:numCache>
                <c:formatCode>0.000</c:formatCode>
                <c:ptCount val="6"/>
                <c:pt idx="0">
                  <c:v>0.46273493195074522</c:v>
                </c:pt>
                <c:pt idx="1">
                  <c:v>0.19458846403110822</c:v>
                </c:pt>
                <c:pt idx="2">
                  <c:v>0.21386908619572262</c:v>
                </c:pt>
                <c:pt idx="3">
                  <c:v>9.1056383668178864E-2</c:v>
                </c:pt>
                <c:pt idx="4">
                  <c:v>3.7751134154244977E-2</c:v>
                </c:pt>
                <c:pt idx="5">
                  <c:v>4.0266106442577033E-2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C-4ED7-A221-D2766FDADB3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9533751486637549"/>
          <c:y val="0.26320847175916423"/>
          <c:w val="0.1176637366237423"/>
          <c:h val="0.66316194686190533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Podíl distribuce</a:t>
            </a:r>
            <a:r>
              <a:rPr lang="en-US" baseline="0"/>
              <a:t> </a:t>
            </a:r>
            <a:r>
              <a:rPr lang="cs-CZ" baseline="0"/>
              <a:t>hmotnost </a:t>
            </a:r>
            <a:r>
              <a:rPr lang="en-US"/>
              <a:t>2022</a:t>
            </a:r>
          </a:p>
          <a:p>
            <a:pPr>
              <a:defRPr/>
            </a:pPr>
            <a:r>
              <a:rPr lang="en-US"/>
              <a:t> </a:t>
            </a:r>
          </a:p>
        </c:rich>
      </c:tx>
      <c:layout>
        <c:manualLayout>
          <c:xMode val="edge"/>
          <c:yMode val="edge"/>
          <c:x val="0.13175289905299034"/>
          <c:y val="7.12087252451124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14863928835582"/>
          <c:y val="0.21119373609422121"/>
          <c:w val="0.56424280035277152"/>
          <c:h val="0.71126539912497833"/>
        </c:manualLayout>
      </c:layout>
      <c:pieChart>
        <c:varyColors val="1"/>
        <c:ser>
          <c:idx val="0"/>
          <c:order val="0"/>
          <c:tx>
            <c:strRef>
              <c:f>Zeme23!$C$13:$C$16</c:f>
              <c:strCache>
                <c:ptCount val="4"/>
                <c:pt idx="0">
                  <c:v>Podíl  odeslane hmotnosti</c:v>
                </c:pt>
                <c:pt idx="1">
                  <c:v>2022</c:v>
                </c:pt>
                <c:pt idx="2">
                  <c:v>Hmotnost</c:v>
                </c:pt>
                <c:pt idx="3">
                  <c:v>koeficient</c:v>
                </c:pt>
              </c:strCache>
            </c:strRef>
          </c:tx>
          <c:dPt>
            <c:idx val="0"/>
            <c:bubble3D val="0"/>
            <c:explosion val="13"/>
            <c:extLst>
              <c:ext xmlns:c16="http://schemas.microsoft.com/office/drawing/2014/chart" uri="{C3380CC4-5D6E-409C-BE32-E72D297353CC}">
                <c16:uniqueId val="{00000001-AF19-4EF6-939F-823BA7AD489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Zeme23!$B$17:$B$22</c:f>
              <c:strCache>
                <c:ptCount val="6"/>
                <c:pt idx="0">
                  <c:v>CZ</c:v>
                </c:pt>
                <c:pt idx="1">
                  <c:v>DE</c:v>
                </c:pt>
                <c:pt idx="2">
                  <c:v>PL</c:v>
                </c:pt>
                <c:pt idx="3">
                  <c:v>HU</c:v>
                </c:pt>
                <c:pt idx="4">
                  <c:v>SK</c:v>
                </c:pt>
                <c:pt idx="5">
                  <c:v>Jiné</c:v>
                </c:pt>
              </c:strCache>
            </c:strRef>
          </c:cat>
          <c:val>
            <c:numRef>
              <c:f>Zeme23!$C$17:$C$22</c:f>
              <c:numCache>
                <c:formatCode>0.000</c:formatCode>
                <c:ptCount val="6"/>
                <c:pt idx="0">
                  <c:v>0.45688689809630462</c:v>
                </c:pt>
                <c:pt idx="1">
                  <c:v>0.1919692849144137</c:v>
                </c:pt>
                <c:pt idx="2">
                  <c:v>0.20796672532394819</c:v>
                </c:pt>
                <c:pt idx="3">
                  <c:v>0.10590305551111824</c:v>
                </c:pt>
                <c:pt idx="4">
                  <c:v>3.7274036154215331E-2</c:v>
                </c:pt>
                <c:pt idx="5">
                  <c:v>4.7268907563025223E-2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19-4EF6-939F-823BA7AD489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9533751486637549"/>
          <c:y val="0.26320847175916423"/>
          <c:w val="0.1176637366237423"/>
          <c:h val="0.66316194686190533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Podíl distribuce</a:t>
            </a:r>
            <a:r>
              <a:rPr lang="en-US" baseline="0"/>
              <a:t> </a:t>
            </a:r>
            <a:r>
              <a:rPr lang="cs-CZ" baseline="0"/>
              <a:t>hmotnost </a:t>
            </a:r>
            <a:r>
              <a:rPr lang="en-US"/>
              <a:t>2023 </a:t>
            </a:r>
          </a:p>
        </c:rich>
      </c:tx>
      <c:layout>
        <c:manualLayout>
          <c:xMode val="edge"/>
          <c:yMode val="edge"/>
          <c:x val="0.13175289905299034"/>
          <c:y val="7.12087252451124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14863928835582"/>
          <c:y val="0.21119373609422121"/>
          <c:w val="0.56424280035277152"/>
          <c:h val="0.71126539912497833"/>
        </c:manualLayout>
      </c:layout>
      <c:pieChart>
        <c:varyColors val="1"/>
        <c:ser>
          <c:idx val="0"/>
          <c:order val="0"/>
          <c:tx>
            <c:strRef>
              <c:f>Zeme21!$C$13:$C$16</c:f>
              <c:strCache>
                <c:ptCount val="4"/>
                <c:pt idx="0">
                  <c:v>Podíl  odeslane hmotnosti</c:v>
                </c:pt>
                <c:pt idx="1">
                  <c:v>2023</c:v>
                </c:pt>
                <c:pt idx="2">
                  <c:v>Hmotnost</c:v>
                </c:pt>
                <c:pt idx="3">
                  <c:v>koeficient</c:v>
                </c:pt>
              </c:strCache>
            </c:strRef>
          </c:tx>
          <c:dPt>
            <c:idx val="0"/>
            <c:bubble3D val="0"/>
            <c:explosion val="13"/>
            <c:extLst>
              <c:ext xmlns:c16="http://schemas.microsoft.com/office/drawing/2014/chart" uri="{C3380CC4-5D6E-409C-BE32-E72D297353CC}">
                <c16:uniqueId val="{00000001-1B20-4CB4-BA5C-79E4D05DC0C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Zeme21!$B$17:$B$22</c:f>
              <c:strCache>
                <c:ptCount val="6"/>
                <c:pt idx="0">
                  <c:v>CZ</c:v>
                </c:pt>
                <c:pt idx="1">
                  <c:v>DE</c:v>
                </c:pt>
                <c:pt idx="2">
                  <c:v>PL</c:v>
                </c:pt>
                <c:pt idx="3">
                  <c:v>HU</c:v>
                </c:pt>
                <c:pt idx="4">
                  <c:v>SK</c:v>
                </c:pt>
                <c:pt idx="5">
                  <c:v>Jiné</c:v>
                </c:pt>
              </c:strCache>
            </c:strRef>
          </c:cat>
          <c:val>
            <c:numRef>
              <c:f>Zeme21!$C$17:$C$22</c:f>
              <c:numCache>
                <c:formatCode>0.000</c:formatCode>
                <c:ptCount val="6"/>
                <c:pt idx="0">
                  <c:v>0.42386464826357967</c:v>
                </c:pt>
                <c:pt idx="1">
                  <c:v>0.20777678836449984</c:v>
                </c:pt>
                <c:pt idx="2">
                  <c:v>0.24042742653606414</c:v>
                </c:pt>
                <c:pt idx="3">
                  <c:v>9.8248738498070642E-2</c:v>
                </c:pt>
                <c:pt idx="4">
                  <c:v>2.9682398337785694E-2</c:v>
                </c:pt>
                <c:pt idx="5">
                  <c:v>4.0266106442577033E-2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1-4EEF-A749-D1DDB6B1483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9533751486637549"/>
          <c:y val="0.26320847175916423"/>
          <c:w val="0.1176637366237423"/>
          <c:h val="0.66316194686190533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600" baseline="0">
                <a:solidFill>
                  <a:sysClr val="windowText" lastClr="000000"/>
                </a:solidFill>
              </a:rPr>
              <a:t>Workshop </a:t>
            </a:r>
            <a:r>
              <a:rPr lang="en-US" sz="1600" baseline="0">
                <a:solidFill>
                  <a:sysClr val="windowText" lastClr="000000"/>
                </a:solidFill>
              </a:rPr>
              <a:t>Auta </a:t>
            </a:r>
            <a:r>
              <a:rPr lang="cs-CZ" sz="1600">
                <a:solidFill>
                  <a:sysClr val="windowText" lastClr="000000"/>
                </a:solidFill>
              </a:rPr>
              <a:t>2</a:t>
            </a:r>
            <a:r>
              <a:rPr lang="en-US" sz="1600">
                <a:solidFill>
                  <a:sysClr val="windowText" lastClr="000000"/>
                </a:solidFill>
              </a:rPr>
              <a:t>3</a:t>
            </a:r>
            <a:r>
              <a:rPr lang="cs-CZ" sz="1600">
                <a:solidFill>
                  <a:sysClr val="windowText" lastClr="000000"/>
                </a:solidFill>
              </a:rPr>
              <a:t> </a:t>
            </a:r>
            <a:r>
              <a:rPr lang="en-US" sz="1600">
                <a:solidFill>
                  <a:sysClr val="windowText" lastClr="000000"/>
                </a:solidFill>
              </a:rPr>
              <a:t>t CO</a:t>
            </a:r>
            <a:r>
              <a:rPr lang="en-US" sz="1600" baseline="-25000">
                <a:solidFill>
                  <a:sysClr val="windowText" lastClr="000000"/>
                </a:solidFill>
              </a:rPr>
              <a:t>2</a:t>
            </a:r>
          </a:p>
        </c:rich>
      </c:tx>
      <c:layout>
        <c:manualLayout>
          <c:xMode val="edge"/>
          <c:yMode val="edge"/>
          <c:x val="0.22478307637841949"/>
          <c:y val="8.13260365914671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700708923012532"/>
          <c:y val="0.27901234567901234"/>
          <c:w val="0.4828939405830085"/>
          <c:h val="0.67292164868280357"/>
        </c:manualLayout>
      </c:layout>
      <c:pieChart>
        <c:varyColors val="1"/>
        <c:ser>
          <c:idx val="0"/>
          <c:order val="0"/>
          <c:tx>
            <c:strRef>
              <c:f>Auta21!$H$2:$J$2</c:f>
              <c:strCache>
                <c:ptCount val="3"/>
                <c:pt idx="0">
                  <c:v>Dílna</c:v>
                </c:pt>
                <c:pt idx="1">
                  <c:v>Sales</c:v>
                </c:pt>
                <c:pt idx="2">
                  <c:v>Region</c:v>
                </c:pt>
              </c:strCache>
            </c:strRef>
          </c:tx>
          <c:dPt>
            <c:idx val="0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D66-4315-B6B2-D483ACAD63AE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D66-4315-B6B2-D483ACAD63AE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D66-4315-B6B2-D483ACAD63AE}"/>
              </c:ext>
            </c:extLst>
          </c:dPt>
          <c:dLbls>
            <c:dLbl>
              <c:idx val="0"/>
              <c:layout>
                <c:manualLayout>
                  <c:x val="-9.7452934662237034E-2"/>
                  <c:y val="0.2138825335512306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832779623477298"/>
                      <c:h val="0.253144654088050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D66-4315-B6B2-D483ACAD63AE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269102990033224"/>
                      <c:h val="0.179245283018867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D66-4315-B6B2-D483ACAD63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Auta21!$H$2:$J$2</c:f>
              <c:strCache>
                <c:ptCount val="3"/>
                <c:pt idx="0">
                  <c:v>Dílna</c:v>
                </c:pt>
                <c:pt idx="1">
                  <c:v>Sales</c:v>
                </c:pt>
                <c:pt idx="2">
                  <c:v>Region</c:v>
                </c:pt>
              </c:strCache>
            </c:strRef>
          </c:cat>
          <c:val>
            <c:numRef>
              <c:f>Auta21!$H$10:$J$10</c:f>
              <c:numCache>
                <c:formatCode>0</c:formatCode>
                <c:ptCount val="3"/>
                <c:pt idx="0">
                  <c:v>2100</c:v>
                </c:pt>
                <c:pt idx="1">
                  <c:v>11433.453000000001</c:v>
                </c:pt>
                <c:pt idx="2">
                  <c:v>9484.8960000000006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66-4315-B6B2-D483ACAD63A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371412875716122"/>
          <c:y val="0.4039766255633141"/>
          <c:w val="0.18111422118746784"/>
          <c:h val="0.318398454910117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59896361897739"/>
          <c:y val="0.25955459080936066"/>
          <c:w val="0.53814798279368725"/>
          <c:h val="0.65309144824883736"/>
        </c:manualLayout>
      </c:layout>
      <c:pieChart>
        <c:varyColors val="1"/>
        <c:ser>
          <c:idx val="0"/>
          <c:order val="0"/>
          <c:spPr>
            <a:solidFill>
              <a:srgbClr val="00B0F0"/>
            </a:solidFill>
            <a:ln>
              <a:solidFill>
                <a:srgbClr val="FFFF00"/>
              </a:solidFill>
            </a:ln>
          </c:spPr>
          <c:explosion val="19"/>
          <c:dPt>
            <c:idx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863-48E0-AB69-F226C522DA54}"/>
              </c:ext>
            </c:extLst>
          </c:dPt>
          <c:dLbls>
            <c:dLbl>
              <c:idx val="0"/>
              <c:layout>
                <c:manualLayout>
                  <c:x val="7.108659140676489E-2"/>
                  <c:y val="0.14079193456466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63-48E0-AB69-F226C522DA54}"/>
                </c:ext>
              </c:extLst>
            </c:dLbl>
            <c:dLbl>
              <c:idx val="1"/>
              <c:layout>
                <c:manualLayout>
                  <c:x val="3.5955439631426274E-3"/>
                  <c:y val="-0.10068771767645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63-48E0-AB69-F226C522DA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Odpady21!$D$4:$E$4</c:f>
              <c:strCache>
                <c:ptCount val="2"/>
                <c:pt idx="0">
                  <c:v>Plasty</c:v>
                </c:pt>
                <c:pt idx="1">
                  <c:v>Papir</c:v>
                </c:pt>
              </c:strCache>
            </c:strRef>
          </c:cat>
          <c:val>
            <c:numRef>
              <c:f>Odpady21!$D$7:$E$7</c:f>
              <c:numCache>
                <c:formatCode>0.000</c:formatCode>
                <c:ptCount val="2"/>
                <c:pt idx="0">
                  <c:v>1.5078947368421081E-2</c:v>
                </c:pt>
                <c:pt idx="1">
                  <c:v>3.2328000000000001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63-48E0-AB69-F226C522D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Energie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EnergiePlyn21!$H$33</c:f>
              <c:strCache>
                <c:ptCount val="1"/>
                <c:pt idx="0">
                  <c:v>El. energie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EnergiePlyn21!$I$32:$J$32</c:f>
              <c:strCache>
                <c:ptCount val="2"/>
                <c:pt idx="0">
                  <c:v>Dilna1</c:v>
                </c:pt>
                <c:pt idx="1">
                  <c:v>Vez</c:v>
                </c:pt>
              </c:strCache>
            </c:strRef>
          </c:cat>
          <c:val>
            <c:numRef>
              <c:f>EnergiePlyn21!$I$33:$J$33</c:f>
              <c:numCache>
                <c:formatCode>General</c:formatCode>
                <c:ptCount val="2"/>
                <c:pt idx="0" formatCode="0.0">
                  <c:v>42.239999999999995</c:v>
                </c:pt>
                <c:pt idx="1">
                  <c:v>12.4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9C-45C6-9EE4-502F38F068E2}"/>
            </c:ext>
          </c:extLst>
        </c:ser>
        <c:ser>
          <c:idx val="1"/>
          <c:order val="1"/>
          <c:tx>
            <c:strRef>
              <c:f>EnergiePlyn21!$H$34</c:f>
              <c:strCache>
                <c:ptCount val="1"/>
                <c:pt idx="0">
                  <c:v>Plyn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EnergiePlyn21!$I$32:$J$32</c:f>
              <c:strCache>
                <c:ptCount val="2"/>
                <c:pt idx="0">
                  <c:v>Dilna1</c:v>
                </c:pt>
                <c:pt idx="1">
                  <c:v>Vez</c:v>
                </c:pt>
              </c:strCache>
            </c:strRef>
          </c:cat>
          <c:val>
            <c:numRef>
              <c:f>EnergiePlyn21!$I$34:$J$34</c:f>
              <c:numCache>
                <c:formatCode>General</c:formatCode>
                <c:ptCount val="2"/>
                <c:pt idx="0" formatCode="0.0">
                  <c:v>26.7</c:v>
                </c:pt>
                <c:pt idx="1">
                  <c:v>3.5999999999999996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9C-45C6-9EE4-502F38F06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225680"/>
        <c:axId val="578229944"/>
      </c:lineChart>
      <c:catAx>
        <c:axId val="5782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229944"/>
        <c:crosses val="autoZero"/>
        <c:auto val="1"/>
        <c:lblAlgn val="ctr"/>
        <c:lblOffset val="100"/>
        <c:noMultiLvlLbl val="0"/>
      </c:catAx>
      <c:valAx>
        <c:axId val="578229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22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Workshop</a:t>
            </a:r>
            <a:r>
              <a:rPr lang="cs-CZ"/>
              <a:t> </a:t>
            </a:r>
            <a:r>
              <a:rPr lang="en-US"/>
              <a:t>2022  - CO</a:t>
            </a:r>
            <a:r>
              <a:rPr lang="en-US" baseline="-25000"/>
              <a:t>2</a:t>
            </a:r>
            <a:r>
              <a:rPr lang="en-US"/>
              <a:t> 107</a:t>
            </a:r>
            <a:r>
              <a:rPr lang="cs-CZ"/>
              <a:t> t</a:t>
            </a:r>
            <a:r>
              <a:rPr lang="en-US"/>
              <a:t>  </a:t>
            </a:r>
          </a:p>
        </c:rich>
      </c:tx>
      <c:layout>
        <c:manualLayout>
          <c:xMode val="edge"/>
          <c:yMode val="edge"/>
          <c:x val="0.2506804832010136"/>
          <c:y val="4.904630286561129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816407164324441E-2"/>
          <c:y val="0.19426825387630273"/>
          <c:w val="0.59551612156019951"/>
          <c:h val="0.7394253149415830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B30-4A96-9A1A-2FC9B6E3278A}"/>
              </c:ext>
            </c:extLst>
          </c:dPt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B30-4A96-9A1A-2FC9B6E3278A}"/>
              </c:ext>
            </c:extLst>
          </c:dPt>
          <c:dPt>
            <c:idx val="2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B30-4A96-9A1A-2FC9B6E3278A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B30-4A96-9A1A-2FC9B6E3278A}"/>
              </c:ext>
            </c:extLst>
          </c:dPt>
          <c:dPt>
            <c:idx val="4"/>
            <c:bubble3D val="0"/>
            <c:spPr>
              <a:solidFill>
                <a:srgbClr val="FFAF7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B30-4A96-9A1A-2FC9B6E3278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B30-4A96-9A1A-2FC9B6E3278A}"/>
              </c:ext>
            </c:extLst>
          </c:dPt>
          <c:dPt>
            <c:idx val="6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B30-4A96-9A1A-2FC9B6E3278A}"/>
              </c:ext>
            </c:extLst>
          </c:dPt>
          <c:dLbls>
            <c:dLbl>
              <c:idx val="0"/>
              <c:layout>
                <c:manualLayout>
                  <c:x val="-0.14048974873303721"/>
                  <c:y val="0.15713582245945565"/>
                </c:manualLayout>
              </c:layout>
              <c:tx>
                <c:rich>
                  <a:bodyPr/>
                  <a:lstStyle/>
                  <a:p>
                    <a:fld id="{BADFCCC7-EB99-405F-BC28-59D9407AB9CE}" type="VALUE">
                      <a:rPr lang="en-US"/>
                      <a:pPr/>
                      <a:t>[VALUE]</a:t>
                    </a:fld>
                    <a:r>
                      <a:rPr lang="en-US" baseline="0"/>
                      <a:t>,</a:t>
                    </a:r>
                  </a:p>
                  <a:p>
                    <a:r>
                      <a:rPr lang="en-US" baseline="0"/>
                      <a:t> </a:t>
                    </a:r>
                    <a:fld id="{C5F3B02F-9A2D-42AC-BCBF-3FACB706AE49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B30-4A96-9A1A-2FC9B6E3278A}"/>
                </c:ext>
              </c:extLst>
            </c:dLbl>
            <c:dLbl>
              <c:idx val="1"/>
              <c:layout>
                <c:manualLayout>
                  <c:x val="4.7646572394967626E-2"/>
                  <c:y val="-0.20396758099730555"/>
                </c:manualLayout>
              </c:layout>
              <c:tx>
                <c:rich>
                  <a:bodyPr/>
                  <a:lstStyle/>
                  <a:p>
                    <a:fld id="{1A2B686D-C5CC-43E2-8919-AD52472AC5ED}" type="VALUE">
                      <a:rPr lang="en-US"/>
                      <a:pPr/>
                      <a:t>[VALUE]</a:t>
                    </a:fld>
                    <a:r>
                      <a:rPr lang="en-US" baseline="0"/>
                      <a:t>, </a:t>
                    </a:r>
                  </a:p>
                  <a:p>
                    <a:fld id="{AF03A178-23FA-441E-8FB6-0372E330A038}" type="PERCENTAGE">
                      <a:rPr lang="en-US" baseline="0"/>
                      <a:pPr/>
                      <a:t>[PERCENTAGE]</a:t>
                    </a:fld>
                    <a:endParaRPr lang="en-US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B30-4A96-9A1A-2FC9B6E3278A}"/>
                </c:ext>
              </c:extLst>
            </c:dLbl>
            <c:dLbl>
              <c:idx val="2"/>
              <c:layout>
                <c:manualLayout>
                  <c:x val="4.6732527134373453E-2"/>
                  <c:y val="6.6688474578721707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30-4A96-9A1A-2FC9B6E3278A}"/>
                </c:ext>
              </c:extLst>
            </c:dLbl>
            <c:dLbl>
              <c:idx val="3"/>
              <c:layout>
                <c:manualLayout>
                  <c:x val="0.16743123289960107"/>
                  <c:y val="0.19898141387561538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30-4A96-9A1A-2FC9B6E3278A}"/>
                </c:ext>
              </c:extLst>
            </c:dLbl>
            <c:dLbl>
              <c:idx val="4"/>
              <c:layout>
                <c:manualLayout>
                  <c:x val="0.16912522539457103"/>
                  <c:y val="0.2992741941313823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30-4A96-9A1A-2FC9B6E3278A}"/>
                </c:ext>
              </c:extLst>
            </c:dLbl>
            <c:dLbl>
              <c:idx val="5"/>
              <c:layout>
                <c:manualLayout>
                  <c:x val="0.17026587856889239"/>
                  <c:y val="9.7808124109911881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30-4A96-9A1A-2FC9B6E3278A}"/>
                </c:ext>
              </c:extLst>
            </c:dLbl>
            <c:dLbl>
              <c:idx val="6"/>
              <c:layout>
                <c:manualLayout>
                  <c:x val="6.1190935156237344E-2"/>
                  <c:y val="1.895139796566605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30-4A96-9A1A-2FC9B6E3278A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'GRAPHS 22'!$A$3:$A$9</c:f>
              <c:strCache>
                <c:ptCount val="7"/>
                <c:pt idx="0">
                  <c:v>Auta</c:v>
                </c:pt>
                <c:pt idx="1">
                  <c:v>El. Energie</c:v>
                </c:pt>
                <c:pt idx="2">
                  <c:v>Plyn</c:v>
                </c:pt>
                <c:pt idx="3">
                  <c:v>Obaly</c:v>
                </c:pt>
                <c:pt idx="4">
                  <c:v>Z odpadu</c:v>
                </c:pt>
                <c:pt idx="5">
                  <c:v>Drevo</c:v>
                </c:pt>
                <c:pt idx="6">
                  <c:v>Doprava</c:v>
                </c:pt>
              </c:strCache>
            </c:strRef>
          </c:cat>
          <c:val>
            <c:numRef>
              <c:f>'GRAPHS 22'!$B$3:$B$9</c:f>
              <c:numCache>
                <c:formatCode>0</c:formatCode>
                <c:ptCount val="7"/>
                <c:pt idx="0">
                  <c:v>20018.349000000002</c:v>
                </c:pt>
                <c:pt idx="1">
                  <c:v>65133.899999999994</c:v>
                </c:pt>
                <c:pt idx="2">
                  <c:v>6080</c:v>
                </c:pt>
                <c:pt idx="3">
                  <c:v>135.69136255485307</c:v>
                </c:pt>
                <c:pt idx="4">
                  <c:v>328.84575893518303</c:v>
                </c:pt>
                <c:pt idx="5" formatCode="0.000">
                  <c:v>0.70900995709544123</c:v>
                </c:pt>
                <c:pt idx="6">
                  <c:v>15588.453640653306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30-4A96-9A1A-2FC9B6E3278A}"/>
            </c:ext>
          </c:extLst>
        </c:ser>
        <c:dLbls>
          <c:dLblPos val="ctr"/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08427406584054"/>
          <c:y val="0.24119729790435432"/>
          <c:w val="0.24180614313435334"/>
          <c:h val="0.63518408046712671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050065892369"/>
          <c:y val="0.26255016955404004"/>
          <c:w val="0.53814798279368725"/>
          <c:h val="0.65309144824883691"/>
        </c:manualLayout>
      </c:layout>
      <c:pieChart>
        <c:varyColors val="1"/>
        <c:ser>
          <c:idx val="0"/>
          <c:order val="0"/>
          <c:spPr>
            <a:solidFill>
              <a:srgbClr val="00B0F0"/>
            </a:solidFill>
            <a:ln>
              <a:solidFill>
                <a:srgbClr val="FFFF00"/>
              </a:solidFill>
            </a:ln>
          </c:spPr>
          <c:explosion val="19"/>
          <c:dPt>
            <c:idx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E5C-49D0-8153-8CCAC90F9E1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Odpady21!$D$4:$E$4</c:f>
              <c:strCache>
                <c:ptCount val="2"/>
                <c:pt idx="0">
                  <c:v>Plasty</c:v>
                </c:pt>
                <c:pt idx="1">
                  <c:v>Papir</c:v>
                </c:pt>
              </c:strCache>
            </c:strRef>
          </c:cat>
          <c:val>
            <c:numRef>
              <c:f>Odpady21!$D$5:$E$5</c:f>
              <c:numCache>
                <c:formatCode>0.000</c:formatCode>
                <c:ptCount val="2"/>
                <c:pt idx="0">
                  <c:v>0.28649999999999998</c:v>
                </c:pt>
                <c:pt idx="1">
                  <c:v>0.80820000000000003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5C-49D0-8153-8CCAC90F9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Podíl  odeslan</a:t>
            </a:r>
            <a:r>
              <a:rPr lang="cs-CZ"/>
              <a:t>é</a:t>
            </a:r>
            <a:r>
              <a:rPr lang="cs-CZ" baseline="0"/>
              <a:t> hmotnosti </a:t>
            </a:r>
            <a:r>
              <a:rPr lang="en-US"/>
              <a:t>2022 </a:t>
            </a:r>
          </a:p>
        </c:rich>
      </c:tx>
      <c:layout>
        <c:manualLayout>
          <c:xMode val="edge"/>
          <c:yMode val="edge"/>
          <c:x val="0.14061171395746977"/>
          <c:y val="4.88744800766515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14863928835582"/>
          <c:y val="0.21119373609422121"/>
          <c:w val="0.56424280035277152"/>
          <c:h val="0.71126539912497833"/>
        </c:manualLayout>
      </c:layout>
      <c:pieChart>
        <c:varyColors val="1"/>
        <c:ser>
          <c:idx val="0"/>
          <c:order val="0"/>
          <c:tx>
            <c:strRef>
              <c:f>Zeme21!$C$13:$C$16</c:f>
              <c:strCache>
                <c:ptCount val="4"/>
                <c:pt idx="0">
                  <c:v>Podíl  odeslane hmotnosti</c:v>
                </c:pt>
                <c:pt idx="1">
                  <c:v>2023</c:v>
                </c:pt>
                <c:pt idx="2">
                  <c:v>Hmotnost</c:v>
                </c:pt>
                <c:pt idx="3">
                  <c:v>koeficient</c:v>
                </c:pt>
              </c:strCache>
            </c:strRef>
          </c:tx>
          <c:dPt>
            <c:idx val="0"/>
            <c:bubble3D val="0"/>
            <c:explosion val="13"/>
            <c:extLst>
              <c:ext xmlns:c16="http://schemas.microsoft.com/office/drawing/2014/chart" uri="{C3380CC4-5D6E-409C-BE32-E72D297353CC}">
                <c16:uniqueId val="{00000001-EFBD-40C1-8CB1-593E06429C0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Zeme21!$B$17:$B$22</c:f>
              <c:strCache>
                <c:ptCount val="6"/>
                <c:pt idx="0">
                  <c:v>CZ</c:v>
                </c:pt>
                <c:pt idx="1">
                  <c:v>DE</c:v>
                </c:pt>
                <c:pt idx="2">
                  <c:v>PL</c:v>
                </c:pt>
                <c:pt idx="3">
                  <c:v>HU</c:v>
                </c:pt>
                <c:pt idx="4">
                  <c:v>SK</c:v>
                </c:pt>
                <c:pt idx="5">
                  <c:v>Jiné</c:v>
                </c:pt>
              </c:strCache>
            </c:strRef>
          </c:cat>
          <c:val>
            <c:numRef>
              <c:f>Zeme21!$C$17:$C$22</c:f>
              <c:numCache>
                <c:formatCode>0.000</c:formatCode>
                <c:ptCount val="6"/>
                <c:pt idx="0">
                  <c:v>0.42386464826357967</c:v>
                </c:pt>
                <c:pt idx="1">
                  <c:v>0.20777678836449984</c:v>
                </c:pt>
                <c:pt idx="2">
                  <c:v>0.24042742653606414</c:v>
                </c:pt>
                <c:pt idx="3">
                  <c:v>9.8248738498070642E-2</c:v>
                </c:pt>
                <c:pt idx="4">
                  <c:v>2.9682398337785694E-2</c:v>
                </c:pt>
                <c:pt idx="5">
                  <c:v>4.0266106442577033E-2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BD-40C1-8CB1-593E06429C0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9533751486637549"/>
          <c:y val="0.26320847175916423"/>
          <c:w val="0.1176637366237423"/>
          <c:h val="0.66316194686190533"/>
        </c:manualLayout>
      </c:layout>
      <c:overlay val="0"/>
    </c:legend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chart" Target="../charts/chart2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chart" Target="../charts/chart24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FEAB29F0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60960</xdr:colOff>
      <xdr:row>0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3863340" y="30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 b="1" i="0" u="none" strike="noStrike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4</xdr:col>
      <xdr:colOff>114300</xdr:colOff>
      <xdr:row>2</xdr:row>
      <xdr:rowOff>81394</xdr:rowOff>
    </xdr:from>
    <xdr:to>
      <xdr:col>12</xdr:col>
      <xdr:colOff>581025</xdr:colOff>
      <xdr:row>25</xdr:row>
      <xdr:rowOff>19050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126424</xdr:colOff>
      <xdr:row>16</xdr:row>
      <xdr:rowOff>10391</xdr:rowOff>
    </xdr:from>
    <xdr:to>
      <xdr:col>19</xdr:col>
      <xdr:colOff>111270</xdr:colOff>
      <xdr:row>27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E8B13D5-A5E2-49CD-9069-ACF2EDB0F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390525</xdr:colOff>
      <xdr:row>2</xdr:row>
      <xdr:rowOff>47625</xdr:rowOff>
    </xdr:from>
    <xdr:to>
      <xdr:col>25</xdr:col>
      <xdr:colOff>414601</xdr:colOff>
      <xdr:row>13</xdr:row>
      <xdr:rowOff>114300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E7C3BF4-2536-4677-9AF5-068E6AE45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390526</xdr:colOff>
      <xdr:row>15</xdr:row>
      <xdr:rowOff>114302</xdr:rowOff>
    </xdr:from>
    <xdr:to>
      <xdr:col>25</xdr:col>
      <xdr:colOff>390525</xdr:colOff>
      <xdr:row>27</xdr:row>
      <xdr:rowOff>66676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AB05DF5-D268-4A44-A419-6E96C002E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76200</xdr:colOff>
      <xdr:row>2</xdr:row>
      <xdr:rowOff>0</xdr:rowOff>
    </xdr:from>
    <xdr:to>
      <xdr:col>19</xdr:col>
      <xdr:colOff>52386</xdr:colOff>
      <xdr:row>13</xdr:row>
      <xdr:rowOff>78581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E7B26BD-7C40-43B3-A03B-433D04047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114300</xdr:colOff>
      <xdr:row>31</xdr:row>
      <xdr:rowOff>9525</xdr:rowOff>
    </xdr:from>
    <xdr:to>
      <xdr:col>19</xdr:col>
      <xdr:colOff>190500</xdr:colOff>
      <xdr:row>42</xdr:row>
      <xdr:rowOff>76200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314BD15B-20AC-460C-8398-28A16CA47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142874</xdr:colOff>
      <xdr:row>14</xdr:row>
      <xdr:rowOff>158750</xdr:rowOff>
    </xdr:from>
    <xdr:to>
      <xdr:col>13</xdr:col>
      <xdr:colOff>190500</xdr:colOff>
      <xdr:row>29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640A54-BBA8-45F4-90B1-AC072775E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142874</xdr:colOff>
      <xdr:row>14</xdr:row>
      <xdr:rowOff>158750</xdr:rowOff>
    </xdr:from>
    <xdr:to>
      <xdr:col>13</xdr:col>
      <xdr:colOff>190500</xdr:colOff>
      <xdr:row>29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AC54FD-A396-4A78-B292-70867E32C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142874</xdr:colOff>
      <xdr:row>14</xdr:row>
      <xdr:rowOff>158750</xdr:rowOff>
    </xdr:from>
    <xdr:to>
      <xdr:col>13</xdr:col>
      <xdr:colOff>190500</xdr:colOff>
      <xdr:row>29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43D6A3-42D4-4E14-9EFF-C1193FF0B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190500</xdr:colOff>
      <xdr:row>11</xdr:row>
      <xdr:rowOff>158749</xdr:rowOff>
    </xdr:from>
    <xdr:to>
      <xdr:col>25</xdr:col>
      <xdr:colOff>364643</xdr:colOff>
      <xdr:row>32</xdr:row>
      <xdr:rowOff>150832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3B93E77-206F-49F0-922F-D6ED824B9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1750" y="2328332"/>
          <a:ext cx="3857143" cy="40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52918</xdr:colOff>
      <xdr:row>21</xdr:row>
      <xdr:rowOff>63500</xdr:rowOff>
    </xdr:from>
    <xdr:to>
      <xdr:col>9</xdr:col>
      <xdr:colOff>399394</xdr:colOff>
      <xdr:row>27</xdr:row>
      <xdr:rowOff>158595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7CD4457-953F-42F7-A243-D163493C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1" y="4201583"/>
          <a:ext cx="5257143" cy="1238095"/>
        </a:xfrm>
        <a:prstGeom prst="rect">
          <a:avLst/>
        </a:prstGeom>
      </xdr:spPr>
    </xdr:pic>
    <xdr:clientData/>
  </xdr:twoCellAnchor>
  <xdr:twoCellAnchor editAs="oneCell">
    <xdr:from>
      <xdr:col>11</xdr:col>
      <xdr:colOff>42334</xdr:colOff>
      <xdr:row>21</xdr:row>
      <xdr:rowOff>105834</xdr:rowOff>
    </xdr:from>
    <xdr:to>
      <xdr:col>17</xdr:col>
      <xdr:colOff>500037</xdr:colOff>
      <xdr:row>23</xdr:row>
      <xdr:rowOff>162929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64F5BC7-F56E-4D6D-AB24-5E7186AFD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94501" y="4243917"/>
          <a:ext cx="4447619" cy="438095"/>
        </a:xfrm>
        <a:prstGeom prst="rect">
          <a:avLst/>
        </a:prstGeom>
      </xdr:spPr>
    </xdr:pic>
    <xdr:clientData/>
  </xdr:twoCellAnchor>
  <xdr:twoCellAnchor>
    <xdr:from>
      <xdr:col>11</xdr:col>
      <xdr:colOff>481540</xdr:colOff>
      <xdr:row>25</xdr:row>
      <xdr:rowOff>57151</xdr:rowOff>
    </xdr:from>
    <xdr:to>
      <xdr:col>18</xdr:col>
      <xdr:colOff>449790</xdr:colOff>
      <xdr:row>39</xdr:row>
      <xdr:rowOff>133351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E68B77-77A4-4DF2-A354-4204B0ED54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190500</xdr:colOff>
      <xdr:row>11</xdr:row>
      <xdr:rowOff>158749</xdr:rowOff>
    </xdr:from>
    <xdr:to>
      <xdr:col>25</xdr:col>
      <xdr:colOff>364643</xdr:colOff>
      <xdr:row>32</xdr:row>
      <xdr:rowOff>150832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E3D66-A094-4E6B-B85B-EDC4E124D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87225" y="2320924"/>
          <a:ext cx="3831743" cy="4068783"/>
        </a:xfrm>
        <a:prstGeom prst="rect">
          <a:avLst/>
        </a:prstGeom>
      </xdr:spPr>
    </xdr:pic>
    <xdr:clientData/>
  </xdr:twoCellAnchor>
  <xdr:twoCellAnchor editAs="oneCell">
    <xdr:from>
      <xdr:col>1</xdr:col>
      <xdr:colOff>52918</xdr:colOff>
      <xdr:row>21</xdr:row>
      <xdr:rowOff>63500</xdr:rowOff>
    </xdr:from>
    <xdr:to>
      <xdr:col>9</xdr:col>
      <xdr:colOff>399394</xdr:colOff>
      <xdr:row>27</xdr:row>
      <xdr:rowOff>158595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4E72AA-0C33-45DC-B10F-CB5F7FD91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518" y="4197350"/>
          <a:ext cx="5223276" cy="1238095"/>
        </a:xfrm>
        <a:prstGeom prst="rect">
          <a:avLst/>
        </a:prstGeom>
      </xdr:spPr>
    </xdr:pic>
    <xdr:clientData/>
  </xdr:twoCellAnchor>
  <xdr:twoCellAnchor editAs="oneCell">
    <xdr:from>
      <xdr:col>11</xdr:col>
      <xdr:colOff>42334</xdr:colOff>
      <xdr:row>21</xdr:row>
      <xdr:rowOff>105834</xdr:rowOff>
    </xdr:from>
    <xdr:to>
      <xdr:col>17</xdr:col>
      <xdr:colOff>500037</xdr:colOff>
      <xdr:row>23</xdr:row>
      <xdr:rowOff>162929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A6C2401-8886-4E71-8B75-93F73379D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47934" y="4239684"/>
          <a:ext cx="4429628" cy="438095"/>
        </a:xfrm>
        <a:prstGeom prst="rect">
          <a:avLst/>
        </a:prstGeom>
      </xdr:spPr>
    </xdr:pic>
    <xdr:clientData/>
  </xdr:twoCellAnchor>
  <xdr:twoCellAnchor>
    <xdr:from>
      <xdr:col>11</xdr:col>
      <xdr:colOff>481540</xdr:colOff>
      <xdr:row>25</xdr:row>
      <xdr:rowOff>57151</xdr:rowOff>
    </xdr:from>
    <xdr:to>
      <xdr:col>18</xdr:col>
      <xdr:colOff>449790</xdr:colOff>
      <xdr:row>39</xdr:row>
      <xdr:rowOff>133351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96B12F0-C31C-40B7-8FAA-DB01BA8D1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190500</xdr:colOff>
      <xdr:row>11</xdr:row>
      <xdr:rowOff>158749</xdr:rowOff>
    </xdr:from>
    <xdr:to>
      <xdr:col>25</xdr:col>
      <xdr:colOff>364643</xdr:colOff>
      <xdr:row>32</xdr:row>
      <xdr:rowOff>150832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9576B1-A029-4F2C-90C7-A6A855B9B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87225" y="2320924"/>
          <a:ext cx="3831743" cy="4068783"/>
        </a:xfrm>
        <a:prstGeom prst="rect">
          <a:avLst/>
        </a:prstGeom>
      </xdr:spPr>
    </xdr:pic>
    <xdr:clientData/>
  </xdr:twoCellAnchor>
  <xdr:twoCellAnchor editAs="oneCell">
    <xdr:from>
      <xdr:col>1</xdr:col>
      <xdr:colOff>52918</xdr:colOff>
      <xdr:row>21</xdr:row>
      <xdr:rowOff>63500</xdr:rowOff>
    </xdr:from>
    <xdr:to>
      <xdr:col>9</xdr:col>
      <xdr:colOff>399394</xdr:colOff>
      <xdr:row>27</xdr:row>
      <xdr:rowOff>158595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B450BB-D0E9-4C1B-8A00-D9A6708E7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518" y="4197350"/>
          <a:ext cx="5223276" cy="1238095"/>
        </a:xfrm>
        <a:prstGeom prst="rect">
          <a:avLst/>
        </a:prstGeom>
      </xdr:spPr>
    </xdr:pic>
    <xdr:clientData/>
  </xdr:twoCellAnchor>
  <xdr:twoCellAnchor editAs="oneCell">
    <xdr:from>
      <xdr:col>11</xdr:col>
      <xdr:colOff>42334</xdr:colOff>
      <xdr:row>21</xdr:row>
      <xdr:rowOff>105834</xdr:rowOff>
    </xdr:from>
    <xdr:to>
      <xdr:col>17</xdr:col>
      <xdr:colOff>500037</xdr:colOff>
      <xdr:row>23</xdr:row>
      <xdr:rowOff>162929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EB812F-1A32-4221-99DE-03D413F6E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47934" y="4239684"/>
          <a:ext cx="4429628" cy="438095"/>
        </a:xfrm>
        <a:prstGeom prst="rect">
          <a:avLst/>
        </a:prstGeom>
      </xdr:spPr>
    </xdr:pic>
    <xdr:clientData/>
  </xdr:twoCellAnchor>
  <xdr:twoCellAnchor>
    <xdr:from>
      <xdr:col>11</xdr:col>
      <xdr:colOff>481540</xdr:colOff>
      <xdr:row>25</xdr:row>
      <xdr:rowOff>57151</xdr:rowOff>
    </xdr:from>
    <xdr:to>
      <xdr:col>18</xdr:col>
      <xdr:colOff>449790</xdr:colOff>
      <xdr:row>39</xdr:row>
      <xdr:rowOff>133351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A9DAFAA-3515-4308-B5D5-A68E26945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142874</xdr:colOff>
      <xdr:row>4</xdr:row>
      <xdr:rowOff>71437</xdr:rowOff>
    </xdr:from>
    <xdr:to>
      <xdr:col>15</xdr:col>
      <xdr:colOff>452436</xdr:colOff>
      <xdr:row>13</xdr:row>
      <xdr:rowOff>214312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3E526B5-DE06-4743-AF8C-0D9DDD60A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142876</xdr:colOff>
      <xdr:row>15</xdr:row>
      <xdr:rowOff>59531</xdr:rowOff>
    </xdr:from>
    <xdr:to>
      <xdr:col>15</xdr:col>
      <xdr:colOff>452437</xdr:colOff>
      <xdr:row>24</xdr:row>
      <xdr:rowOff>59531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DF8FD8A-66ED-42BE-AD9E-F4980705D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0.18616</cdr:x>
      <cdr:y>0.05426</cdr:y>
    </cdr:from>
    <cdr:to>
      <cdr:x>0.82113</cdr:x>
      <cdr:y>0.20414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45264" y="115641"/>
          <a:ext cx="1859787" cy="31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600" b="1"/>
            <a:t>SvozFirma 2021 T</a:t>
          </a:r>
        </a:p>
        <a:p xmlns:a="http://schemas.openxmlformats.org/drawingml/2006/main">
          <a:endParaRPr lang="en-US" sz="1400" b="1"/>
        </a:p>
        <a:p xmlns:a="http://schemas.openxmlformats.org/drawingml/2006/main">
          <a:endParaRPr lang="en-US" sz="1600" b="1"/>
        </a:p>
      </cdr:txBody>
    </cdr:sp>
  </cdr:relSizeAnchor>
  <cdr:relSizeAnchor xmlns:cdr="http://schemas.openxmlformats.org/drawingml/2006/chartDrawing">
    <cdr:from>
      <cdr:x>0.69875</cdr:x>
      <cdr:y>0.7</cdr:y>
    </cdr:from>
    <cdr:to>
      <cdr:x>0.9233</cdr:x>
      <cdr:y>0.95918</cdr:y>
    </cdr:to>
    <cdr:pic>
      <cdr:nvPicPr>
        <cdr:cNvPr id="3" name="Picture 2" descr="Image result for recycle sign">
          <a:extLst xmlns:a="http://schemas.openxmlformats.org/drawingml/2006/main">
            <a:ext uri="{FF2B5EF4-FFF2-40B4-BE49-F238E27FC236}">
              <a16:creationId xmlns:a16="http://schemas.microsoft.com/office/drawing/2014/main" id="{17FAE62F-0CEF-4A1A-901B-6CBF328C09A4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146429" y="1666876"/>
          <a:ext cx="689776" cy="617172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0.06911</cdr:x>
      <cdr:y>0.05205</cdr:y>
    </cdr:from>
    <cdr:to>
      <cdr:x>0.92683</cdr:x>
      <cdr:y>0.24422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02418" y="117123"/>
          <a:ext cx="2512205" cy="4324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600" b="1"/>
            <a:t>Preposlani </a:t>
          </a:r>
          <a:r>
            <a:rPr lang="en-US" sz="1600" b="1">
              <a:solidFill>
                <a:srgbClr val="00B050"/>
              </a:solidFill>
            </a:rPr>
            <a:t>5 % + 80 % </a:t>
          </a:r>
          <a:r>
            <a:rPr lang="en-US" sz="1600" b="1" baseline="0">
              <a:solidFill>
                <a:srgbClr val="00B050"/>
              </a:solidFill>
            </a:rPr>
            <a:t> </a:t>
          </a:r>
          <a:r>
            <a:rPr lang="en-US" sz="1600" b="1"/>
            <a:t>2021</a:t>
          </a:r>
        </a:p>
        <a:p xmlns:a="http://schemas.openxmlformats.org/drawingml/2006/main">
          <a:endParaRPr lang="en-US" sz="1600" b="1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142874</xdr:colOff>
      <xdr:row>4</xdr:row>
      <xdr:rowOff>71437</xdr:rowOff>
    </xdr:from>
    <xdr:to>
      <xdr:col>15</xdr:col>
      <xdr:colOff>452436</xdr:colOff>
      <xdr:row>13</xdr:row>
      <xdr:rowOff>214312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FAB724-5A55-49CC-8623-B3F1F7E37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142876</xdr:colOff>
      <xdr:row>15</xdr:row>
      <xdr:rowOff>59531</xdr:rowOff>
    </xdr:from>
    <xdr:to>
      <xdr:col>15</xdr:col>
      <xdr:colOff>452437</xdr:colOff>
      <xdr:row>24</xdr:row>
      <xdr:rowOff>59531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D771CA2-B448-4E1B-A461-3723FC2FD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0.21631</cdr:x>
      <cdr:y>0.05378</cdr:y>
    </cdr:from>
    <cdr:to>
      <cdr:x>0.85128</cdr:x>
      <cdr:y>0.20366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35431" y="120331"/>
          <a:ext cx="1865286" cy="3353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600" b="1"/>
            <a:t>SvozFirma 2021 T</a:t>
          </a:r>
        </a:p>
        <a:p xmlns:a="http://schemas.openxmlformats.org/drawingml/2006/main">
          <a:endParaRPr lang="en-US" sz="1400" b="1"/>
        </a:p>
        <a:p xmlns:a="http://schemas.openxmlformats.org/drawingml/2006/main">
          <a:endParaRPr lang="en-US" sz="1600" b="1"/>
        </a:p>
      </cdr:txBody>
    </cdr:sp>
  </cdr:relSizeAnchor>
  <cdr:relSizeAnchor xmlns:cdr="http://schemas.openxmlformats.org/drawingml/2006/chartDrawing">
    <cdr:from>
      <cdr:x>0.69875</cdr:x>
      <cdr:y>0.7</cdr:y>
    </cdr:from>
    <cdr:to>
      <cdr:x>0.9233</cdr:x>
      <cdr:y>0.95918</cdr:y>
    </cdr:to>
    <cdr:pic>
      <cdr:nvPicPr>
        <cdr:cNvPr id="3" name="Picture 2" descr="Image result for recycle sign">
          <a:extLst xmlns:a="http://schemas.openxmlformats.org/drawingml/2006/main">
            <a:ext uri="{FF2B5EF4-FFF2-40B4-BE49-F238E27FC236}">
              <a16:creationId xmlns:a16="http://schemas.microsoft.com/office/drawing/2014/main" id="{17FAE62F-0CEF-4A1A-901B-6CBF328C09A4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146429" y="1666876"/>
          <a:ext cx="689776" cy="617172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0.18616</cdr:x>
      <cdr:y>0.05426</cdr:y>
    </cdr:from>
    <cdr:to>
      <cdr:x>0.82113</cdr:x>
      <cdr:y>0.20414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45264" y="115641"/>
          <a:ext cx="1859787" cy="31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600" b="1"/>
            <a:t>SvozFirma 2022 T</a:t>
          </a:r>
        </a:p>
        <a:p xmlns:a="http://schemas.openxmlformats.org/drawingml/2006/main">
          <a:endParaRPr lang="en-US" sz="1400" b="1"/>
        </a:p>
        <a:p xmlns:a="http://schemas.openxmlformats.org/drawingml/2006/main">
          <a:endParaRPr lang="en-US" sz="1600" b="1"/>
        </a:p>
      </cdr:txBody>
    </cdr:sp>
  </cdr:relSizeAnchor>
  <cdr:relSizeAnchor xmlns:cdr="http://schemas.openxmlformats.org/drawingml/2006/chartDrawing">
    <cdr:from>
      <cdr:x>0.69875</cdr:x>
      <cdr:y>0.7</cdr:y>
    </cdr:from>
    <cdr:to>
      <cdr:x>0.9233</cdr:x>
      <cdr:y>0.95918</cdr:y>
    </cdr:to>
    <cdr:pic>
      <cdr:nvPicPr>
        <cdr:cNvPr id="3" name="Picture 2" descr="Image result for recycle sign">
          <a:extLst xmlns:a="http://schemas.openxmlformats.org/drawingml/2006/main">
            <a:ext uri="{FF2B5EF4-FFF2-40B4-BE49-F238E27FC236}">
              <a16:creationId xmlns:a16="http://schemas.microsoft.com/office/drawing/2014/main" id="{17FAE62F-0CEF-4A1A-901B-6CBF328C09A4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146429" y="1666876"/>
          <a:ext cx="689776" cy="617172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0.06911</cdr:x>
      <cdr:y>0.05205</cdr:y>
    </cdr:from>
    <cdr:to>
      <cdr:x>0.92683</cdr:x>
      <cdr:y>0.24422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02418" y="117123"/>
          <a:ext cx="2512205" cy="4324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600" b="1"/>
            <a:t>Preposlani </a:t>
          </a:r>
          <a:r>
            <a:rPr lang="en-US" sz="1600" b="1">
              <a:solidFill>
                <a:srgbClr val="00B050"/>
              </a:solidFill>
            </a:rPr>
            <a:t>5 % + 80 % </a:t>
          </a:r>
          <a:r>
            <a:rPr lang="en-US" sz="1600" b="1" baseline="0">
              <a:solidFill>
                <a:srgbClr val="00B050"/>
              </a:solidFill>
            </a:rPr>
            <a:t> </a:t>
          </a:r>
          <a:r>
            <a:rPr lang="en-US" sz="1600" b="1"/>
            <a:t>2022</a:t>
          </a:r>
        </a:p>
        <a:p xmlns:a="http://schemas.openxmlformats.org/drawingml/2006/main">
          <a:endParaRPr lang="en-US" sz="1600" b="1"/>
        </a:p>
        <a:p xmlns:a="http://schemas.openxmlformats.org/drawingml/2006/main">
          <a:endParaRPr lang="en-US" sz="1600" b="1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142874</xdr:colOff>
      <xdr:row>4</xdr:row>
      <xdr:rowOff>71437</xdr:rowOff>
    </xdr:from>
    <xdr:to>
      <xdr:col>15</xdr:col>
      <xdr:colOff>452436</xdr:colOff>
      <xdr:row>13</xdr:row>
      <xdr:rowOff>214312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84EAC7-872D-4430-85AE-13BE8D90E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142876</xdr:colOff>
      <xdr:row>15</xdr:row>
      <xdr:rowOff>59531</xdr:rowOff>
    </xdr:from>
    <xdr:to>
      <xdr:col>15</xdr:col>
      <xdr:colOff>452437</xdr:colOff>
      <xdr:row>24</xdr:row>
      <xdr:rowOff>59531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EF4036-7B8D-48FB-8457-06F4243D9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0.18616</cdr:x>
      <cdr:y>0.05426</cdr:y>
    </cdr:from>
    <cdr:to>
      <cdr:x>0.82113</cdr:x>
      <cdr:y>0.20414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45264" y="115641"/>
          <a:ext cx="1859787" cy="31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600" b="1"/>
            <a:t>SvozFirma 2021 T</a:t>
          </a:r>
        </a:p>
        <a:p xmlns:a="http://schemas.openxmlformats.org/drawingml/2006/main">
          <a:endParaRPr lang="en-US" sz="1400" b="1"/>
        </a:p>
        <a:p xmlns:a="http://schemas.openxmlformats.org/drawingml/2006/main">
          <a:endParaRPr lang="en-US" sz="1600" b="1"/>
        </a:p>
      </cdr:txBody>
    </cdr:sp>
  </cdr:relSizeAnchor>
  <cdr:relSizeAnchor xmlns:cdr="http://schemas.openxmlformats.org/drawingml/2006/chartDrawing">
    <cdr:from>
      <cdr:x>0.69875</cdr:x>
      <cdr:y>0.7</cdr:y>
    </cdr:from>
    <cdr:to>
      <cdr:x>0.9233</cdr:x>
      <cdr:y>0.95918</cdr:y>
    </cdr:to>
    <cdr:pic>
      <cdr:nvPicPr>
        <cdr:cNvPr id="3" name="Picture 2" descr="Image result for recycle sign">
          <a:extLst xmlns:a="http://schemas.openxmlformats.org/drawingml/2006/main">
            <a:ext uri="{FF2B5EF4-FFF2-40B4-BE49-F238E27FC236}">
              <a16:creationId xmlns:a16="http://schemas.microsoft.com/office/drawing/2014/main" id="{17FAE62F-0CEF-4A1A-901B-6CBF328C09A4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146429" y="1666876"/>
          <a:ext cx="689776" cy="617172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0.06911</cdr:x>
      <cdr:y>0.05205</cdr:y>
    </cdr:from>
    <cdr:to>
      <cdr:x>0.92683</cdr:x>
      <cdr:y>0.24422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02418" y="117123"/>
          <a:ext cx="2512205" cy="4324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600" b="1"/>
            <a:t>Preposlani </a:t>
          </a:r>
          <a:r>
            <a:rPr lang="en-US" sz="1600" b="1">
              <a:solidFill>
                <a:srgbClr val="00B050"/>
              </a:solidFill>
            </a:rPr>
            <a:t>5 % + 80 % </a:t>
          </a:r>
          <a:r>
            <a:rPr lang="en-US" sz="1600" b="1" baseline="0">
              <a:solidFill>
                <a:srgbClr val="00B050"/>
              </a:solidFill>
            </a:rPr>
            <a:t> </a:t>
          </a:r>
          <a:r>
            <a:rPr lang="en-US" sz="1600" b="1"/>
            <a:t>2021</a:t>
          </a:r>
        </a:p>
        <a:p xmlns:a="http://schemas.openxmlformats.org/drawingml/2006/main">
          <a:endParaRPr lang="en-US" sz="1600" b="1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238125</xdr:colOff>
      <xdr:row>6</xdr:row>
      <xdr:rowOff>10584</xdr:rowOff>
    </xdr:from>
    <xdr:to>
      <xdr:col>11</xdr:col>
      <xdr:colOff>654843</xdr:colOff>
      <xdr:row>19</xdr:row>
      <xdr:rowOff>226218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9147CF3-F57E-4952-B19C-965C667A3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238125</xdr:colOff>
      <xdr:row>6</xdr:row>
      <xdr:rowOff>10584</xdr:rowOff>
    </xdr:from>
    <xdr:to>
      <xdr:col>11</xdr:col>
      <xdr:colOff>654843</xdr:colOff>
      <xdr:row>19</xdr:row>
      <xdr:rowOff>226218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37771A-B337-4C57-AF62-F7CB52BF5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238125</xdr:colOff>
      <xdr:row>6</xdr:row>
      <xdr:rowOff>10584</xdr:rowOff>
    </xdr:from>
    <xdr:to>
      <xdr:col>11</xdr:col>
      <xdr:colOff>654843</xdr:colOff>
      <xdr:row>19</xdr:row>
      <xdr:rowOff>226218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5D1655C-3DFC-4360-A455-03723B06D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198120</xdr:colOff>
      <xdr:row>8</xdr:row>
      <xdr:rowOff>144780</xdr:rowOff>
    </xdr:from>
    <xdr:to>
      <xdr:col>5</xdr:col>
      <xdr:colOff>605790</xdr:colOff>
      <xdr:row>28</xdr:row>
      <xdr:rowOff>30480</xdr:rowOff>
    </xdr:to>
    <xdr:pic>
      <xdr:nvPicPr>
        <xdr:cNvPr id="7169" name="Picture 1">
          <a:extLst>
            <a:ext uri="{FF2B5EF4-FFF2-40B4-BE49-F238E27FC236}">
              <a16:creationId xmlns:a16="http://schemas.microsoft.com/office/drawing/2014/main" id="{00000000-0008-0000-0D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7320" y="1754505"/>
          <a:ext cx="2217420" cy="3695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32</xdr:row>
      <xdr:rowOff>0</xdr:rowOff>
    </xdr:from>
    <xdr:to>
      <xdr:col>17</xdr:col>
      <xdr:colOff>441960</xdr:colOff>
      <xdr:row>52</xdr:row>
      <xdr:rowOff>137160</xdr:rowOff>
    </xdr:to>
    <xdr:pic>
      <xdr:nvPicPr>
        <xdr:cNvPr id="7171" name="Picture 3">
          <a:extLst>
            <a:ext uri="{FF2B5EF4-FFF2-40B4-BE49-F238E27FC236}">
              <a16:creationId xmlns:a16="http://schemas.microsoft.com/office/drawing/2014/main" id="{00000000-0008-0000-0D00-00000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8800" y="6400800"/>
          <a:ext cx="8366760" cy="3794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432435</xdr:colOff>
      <xdr:row>8</xdr:row>
      <xdr:rowOff>45720</xdr:rowOff>
    </xdr:from>
    <xdr:to>
      <xdr:col>15</xdr:col>
      <xdr:colOff>36195</xdr:colOff>
      <xdr:row>22</xdr:row>
      <xdr:rowOff>182880</xdr:rowOff>
    </xdr:to>
    <xdr:pic>
      <xdr:nvPicPr>
        <xdr:cNvPr id="7174" name="Picture 6">
          <a:extLst>
            <a:ext uri="{FF2B5EF4-FFF2-40B4-BE49-F238E27FC236}">
              <a16:creationId xmlns:a16="http://schemas.microsoft.com/office/drawing/2014/main" id="{00000000-0008-0000-0D00-00000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0985" y="2188845"/>
          <a:ext cx="5090160" cy="28041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552450</xdr:colOff>
      <xdr:row>11</xdr:row>
      <xdr:rowOff>104775</xdr:rowOff>
    </xdr:from>
    <xdr:to>
      <xdr:col>27</xdr:col>
      <xdr:colOff>438150</xdr:colOff>
      <xdr:row>29</xdr:row>
      <xdr:rowOff>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9F40C61-B662-4DCB-9FB5-A90A2E76520F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0" y="2819400"/>
          <a:ext cx="6591300" cy="33242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504825</xdr:colOff>
      <xdr:row>63</xdr:row>
      <xdr:rowOff>19050</xdr:rowOff>
    </xdr:from>
    <xdr:to>
      <xdr:col>23</xdr:col>
      <xdr:colOff>531722</xdr:colOff>
      <xdr:row>84</xdr:row>
      <xdr:rowOff>75693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1EB4DF-660F-47F4-B8DD-AB41BE807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4425" y="12715875"/>
          <a:ext cx="13419047" cy="405714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14</xdr:row>
      <xdr:rowOff>47625</xdr:rowOff>
    </xdr:from>
    <xdr:to>
      <xdr:col>15</xdr:col>
      <xdr:colOff>510540</xdr:colOff>
      <xdr:row>37</xdr:row>
      <xdr:rowOff>129540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EAA996-552A-493F-A6D8-2B448AF05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2581275"/>
          <a:ext cx="8905875" cy="424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</xdr:colOff>
      <xdr:row>39</xdr:row>
      <xdr:rowOff>85725</xdr:rowOff>
    </xdr:from>
    <xdr:to>
      <xdr:col>10</xdr:col>
      <xdr:colOff>112395</xdr:colOff>
      <xdr:row>75</xdr:row>
      <xdr:rowOff>129540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48F2FE-B231-400C-A07A-9F7E777CB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" y="7143750"/>
          <a:ext cx="5577840" cy="655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533400</xdr:colOff>
      <xdr:row>39</xdr:row>
      <xdr:rowOff>104775</xdr:rowOff>
    </xdr:from>
    <xdr:to>
      <xdr:col>22</xdr:col>
      <xdr:colOff>205740</xdr:colOff>
      <xdr:row>66</xdr:row>
      <xdr:rowOff>24765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E1EDC75-F4F5-4EF4-A415-BF8AAF07F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7162800"/>
          <a:ext cx="6981825" cy="481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77</xdr:row>
      <xdr:rowOff>85725</xdr:rowOff>
    </xdr:from>
    <xdr:to>
      <xdr:col>12</xdr:col>
      <xdr:colOff>409575</xdr:colOff>
      <xdr:row>109</xdr:row>
      <xdr:rowOff>161925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B263353-287C-4CF7-BD1A-405CB2BB6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4020800"/>
          <a:ext cx="7048500" cy="586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22860</xdr:colOff>
      <xdr:row>16</xdr:row>
      <xdr:rowOff>44546</xdr:rowOff>
    </xdr:from>
    <xdr:to>
      <xdr:col>29</xdr:col>
      <xdr:colOff>324874</xdr:colOff>
      <xdr:row>37</xdr:row>
      <xdr:rowOff>1057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9004EC-218E-49A8-9337-65674A930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76460" y="2970626"/>
          <a:ext cx="8226814" cy="3796991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0.06911</cdr:x>
      <cdr:y>0.05205</cdr:y>
    </cdr:from>
    <cdr:to>
      <cdr:x>0.92683</cdr:x>
      <cdr:y>0.24422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02418" y="117123"/>
          <a:ext cx="2512205" cy="4324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600" b="1"/>
            <a:t>Preposlani </a:t>
          </a:r>
          <a:r>
            <a:rPr lang="en-US" sz="1600" b="1">
              <a:solidFill>
                <a:srgbClr val="00B050"/>
              </a:solidFill>
            </a:rPr>
            <a:t>5 % + 80 % </a:t>
          </a:r>
          <a:r>
            <a:rPr lang="en-US" sz="1600" b="1" baseline="0">
              <a:solidFill>
                <a:srgbClr val="00B050"/>
              </a:solidFill>
            </a:rPr>
            <a:t> </a:t>
          </a:r>
          <a:r>
            <a:rPr lang="en-US" sz="1600" b="1"/>
            <a:t>2021</a:t>
          </a:r>
        </a:p>
        <a:p xmlns:a="http://schemas.openxmlformats.org/drawingml/2006/main">
          <a:endParaRPr lang="en-US" sz="16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60960</xdr:colOff>
      <xdr:row>0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FA89690-64FD-4DE3-992E-366F3C61377B}"/>
            </a:ext>
          </a:extLst>
        </xdr:cNvPr>
        <xdr:cNvSpPr txBox="1"/>
      </xdr:nvSpPr>
      <xdr:spPr>
        <a:xfrm>
          <a:off x="3432810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 b="1" i="0" u="none" strike="noStrike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4</xdr:col>
      <xdr:colOff>114300</xdr:colOff>
      <xdr:row>2</xdr:row>
      <xdr:rowOff>81394</xdr:rowOff>
    </xdr:from>
    <xdr:to>
      <xdr:col>12</xdr:col>
      <xdr:colOff>581025</xdr:colOff>
      <xdr:row>25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0EE66C6-9006-495D-AA63-D4D06E63A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126424</xdr:colOff>
      <xdr:row>16</xdr:row>
      <xdr:rowOff>10391</xdr:rowOff>
    </xdr:from>
    <xdr:to>
      <xdr:col>19</xdr:col>
      <xdr:colOff>111270</xdr:colOff>
      <xdr:row>27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E9ECFF-52AE-4A63-9DE6-D66250FD8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390525</xdr:colOff>
      <xdr:row>2</xdr:row>
      <xdr:rowOff>47625</xdr:rowOff>
    </xdr:from>
    <xdr:to>
      <xdr:col>25</xdr:col>
      <xdr:colOff>414601</xdr:colOff>
      <xdr:row>13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8C48199-3D6A-4790-B4A5-D68424C9A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390526</xdr:colOff>
      <xdr:row>15</xdr:row>
      <xdr:rowOff>114302</xdr:rowOff>
    </xdr:from>
    <xdr:to>
      <xdr:col>25</xdr:col>
      <xdr:colOff>390525</xdr:colOff>
      <xdr:row>27</xdr:row>
      <xdr:rowOff>66676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6C961E2-3B69-4A0F-AF5D-DCC2C0B12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76200</xdr:colOff>
      <xdr:row>2</xdr:row>
      <xdr:rowOff>0</xdr:rowOff>
    </xdr:from>
    <xdr:to>
      <xdr:col>19</xdr:col>
      <xdr:colOff>52386</xdr:colOff>
      <xdr:row>13</xdr:row>
      <xdr:rowOff>78581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4D3FA47-2FCB-4B51-8885-707E85C07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114300</xdr:colOff>
      <xdr:row>31</xdr:row>
      <xdr:rowOff>9525</xdr:rowOff>
    </xdr:from>
    <xdr:to>
      <xdr:col>19</xdr:col>
      <xdr:colOff>190500</xdr:colOff>
      <xdr:row>42</xdr:row>
      <xdr:rowOff>76200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A0EECDB-5B18-4951-8EFE-DA022EFF8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0.21631</cdr:x>
      <cdr:y>0.05378</cdr:y>
    </cdr:from>
    <cdr:to>
      <cdr:x>0.85128</cdr:x>
      <cdr:y>0.20366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35431" y="120331"/>
          <a:ext cx="1865286" cy="3353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600" b="1"/>
            <a:t>SvozFirma 2022 T</a:t>
          </a:r>
        </a:p>
        <a:p xmlns:a="http://schemas.openxmlformats.org/drawingml/2006/main">
          <a:endParaRPr lang="en-US" sz="1400" b="1"/>
        </a:p>
        <a:p xmlns:a="http://schemas.openxmlformats.org/drawingml/2006/main">
          <a:endParaRPr lang="en-US" sz="1600" b="1"/>
        </a:p>
      </cdr:txBody>
    </cdr:sp>
  </cdr:relSizeAnchor>
  <cdr:relSizeAnchor xmlns:cdr="http://schemas.openxmlformats.org/drawingml/2006/chartDrawing">
    <cdr:from>
      <cdr:x>0.69875</cdr:x>
      <cdr:y>0.7</cdr:y>
    </cdr:from>
    <cdr:to>
      <cdr:x>0.9233</cdr:x>
      <cdr:y>0.95918</cdr:y>
    </cdr:to>
    <cdr:pic>
      <cdr:nvPicPr>
        <cdr:cNvPr id="3" name="Picture 2" descr="Image result for recycle sign">
          <a:extLst xmlns:a="http://schemas.openxmlformats.org/drawingml/2006/main">
            <a:ext uri="{FF2B5EF4-FFF2-40B4-BE49-F238E27FC236}">
              <a16:creationId xmlns:a16="http://schemas.microsoft.com/office/drawing/2014/main" id="{17FAE62F-0CEF-4A1A-901B-6CBF328C09A4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146429" y="1666876"/>
          <a:ext cx="689776" cy="617172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0.06911</cdr:x>
      <cdr:y>0.05205</cdr:y>
    </cdr:from>
    <cdr:to>
      <cdr:x>0.92683</cdr:x>
      <cdr:y>0.24422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02418" y="117123"/>
          <a:ext cx="2512205" cy="4324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600" b="1"/>
            <a:t>Preposlani </a:t>
          </a:r>
          <a:r>
            <a:rPr lang="en-US" sz="1600" b="1">
              <a:solidFill>
                <a:srgbClr val="00B050"/>
              </a:solidFill>
            </a:rPr>
            <a:t>5 % + 80 % </a:t>
          </a:r>
          <a:r>
            <a:rPr lang="en-US" sz="1600" b="1" baseline="0">
              <a:solidFill>
                <a:srgbClr val="00B050"/>
              </a:solidFill>
            </a:rPr>
            <a:t> </a:t>
          </a:r>
          <a:r>
            <a:rPr lang="en-US" sz="1600" b="1"/>
            <a:t>2022</a:t>
          </a:r>
        </a:p>
        <a:p xmlns:a="http://schemas.openxmlformats.org/drawingml/2006/main">
          <a:endParaRPr lang="en-US" sz="1600" b="1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60960</xdr:colOff>
      <xdr:row>0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FA100D6-73F2-48E6-8163-5F35FF29FCF9}"/>
            </a:ext>
          </a:extLst>
        </xdr:cNvPr>
        <xdr:cNvSpPr txBox="1"/>
      </xdr:nvSpPr>
      <xdr:spPr>
        <a:xfrm>
          <a:off x="3432810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 b="1" i="0" u="none" strike="noStrike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4</xdr:col>
      <xdr:colOff>114300</xdr:colOff>
      <xdr:row>2</xdr:row>
      <xdr:rowOff>81394</xdr:rowOff>
    </xdr:from>
    <xdr:to>
      <xdr:col>12</xdr:col>
      <xdr:colOff>581025</xdr:colOff>
      <xdr:row>25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FC8DF97-EC93-4003-8D66-B4AFC8DDD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126424</xdr:colOff>
      <xdr:row>16</xdr:row>
      <xdr:rowOff>10391</xdr:rowOff>
    </xdr:from>
    <xdr:to>
      <xdr:col>19</xdr:col>
      <xdr:colOff>111270</xdr:colOff>
      <xdr:row>27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49095BC-67FD-4C75-BD55-ECC709D38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390525</xdr:colOff>
      <xdr:row>2</xdr:row>
      <xdr:rowOff>47625</xdr:rowOff>
    </xdr:from>
    <xdr:to>
      <xdr:col>25</xdr:col>
      <xdr:colOff>414601</xdr:colOff>
      <xdr:row>13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1C80E1-C5DB-4419-8E96-2762E5164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390526</xdr:colOff>
      <xdr:row>15</xdr:row>
      <xdr:rowOff>114302</xdr:rowOff>
    </xdr:from>
    <xdr:to>
      <xdr:col>25</xdr:col>
      <xdr:colOff>390525</xdr:colOff>
      <xdr:row>27</xdr:row>
      <xdr:rowOff>66676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007312-B76D-413D-A110-EDFD00E8D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76200</xdr:colOff>
      <xdr:row>2</xdr:row>
      <xdr:rowOff>0</xdr:rowOff>
    </xdr:from>
    <xdr:to>
      <xdr:col>19</xdr:col>
      <xdr:colOff>52386</xdr:colOff>
      <xdr:row>13</xdr:row>
      <xdr:rowOff>78581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FEAB180-0098-4BBE-BEAC-76C5D303B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114300</xdr:colOff>
      <xdr:row>31</xdr:row>
      <xdr:rowOff>9525</xdr:rowOff>
    </xdr:from>
    <xdr:to>
      <xdr:col>19</xdr:col>
      <xdr:colOff>190500</xdr:colOff>
      <xdr:row>42</xdr:row>
      <xdr:rowOff>76200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C3571C5-84E1-43B3-936D-9AAC14831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0.21631</cdr:x>
      <cdr:y>0.05378</cdr:y>
    </cdr:from>
    <cdr:to>
      <cdr:x>0.85128</cdr:x>
      <cdr:y>0.20366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35431" y="120331"/>
          <a:ext cx="1865286" cy="3353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600" b="1"/>
            <a:t>SvozFirma 2023 T</a:t>
          </a:r>
        </a:p>
        <a:p xmlns:a="http://schemas.openxmlformats.org/drawingml/2006/main">
          <a:endParaRPr lang="en-US" sz="1400" b="1"/>
        </a:p>
        <a:p xmlns:a="http://schemas.openxmlformats.org/drawingml/2006/main">
          <a:endParaRPr lang="en-US" sz="1600" b="1"/>
        </a:p>
      </cdr:txBody>
    </cdr:sp>
  </cdr:relSizeAnchor>
  <cdr:relSizeAnchor xmlns:cdr="http://schemas.openxmlformats.org/drawingml/2006/chartDrawing">
    <cdr:from>
      <cdr:x>0.69875</cdr:x>
      <cdr:y>0.7</cdr:y>
    </cdr:from>
    <cdr:to>
      <cdr:x>0.9233</cdr:x>
      <cdr:y>0.95918</cdr:y>
    </cdr:to>
    <cdr:pic>
      <cdr:nvPicPr>
        <cdr:cNvPr id="3" name="Picture 2" descr="Image result for recycle sign">
          <a:extLst xmlns:a="http://schemas.openxmlformats.org/drawingml/2006/main">
            <a:ext uri="{FF2B5EF4-FFF2-40B4-BE49-F238E27FC236}">
              <a16:creationId xmlns:a16="http://schemas.microsoft.com/office/drawing/2014/main" id="{17FAE62F-0CEF-4A1A-901B-6CBF328C09A4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146429" y="1666876"/>
          <a:ext cx="689776" cy="617172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0.06911</cdr:x>
      <cdr:y>0.05205</cdr:y>
    </cdr:from>
    <cdr:to>
      <cdr:x>0.92683</cdr:x>
      <cdr:y>0.24422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02418" y="117123"/>
          <a:ext cx="2512205" cy="4324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600" b="1"/>
            <a:t>Preposlani </a:t>
          </a:r>
          <a:r>
            <a:rPr lang="en-US" sz="1600" b="1">
              <a:solidFill>
                <a:srgbClr val="00B050"/>
              </a:solidFill>
            </a:rPr>
            <a:t>5 % + 80 % </a:t>
          </a:r>
          <a:r>
            <a:rPr lang="en-US" sz="1600" b="1" baseline="0">
              <a:solidFill>
                <a:srgbClr val="00B050"/>
              </a:solidFill>
            </a:rPr>
            <a:t> </a:t>
          </a:r>
          <a:r>
            <a:rPr lang="en-US" sz="1600" b="1"/>
            <a:t>2023</a:t>
          </a:r>
        </a:p>
        <a:p xmlns:a="http://schemas.openxmlformats.org/drawingml/2006/main">
          <a:endParaRPr lang="en-US" sz="1600" b="1"/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square.cz/workshop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://envis.praha-mesto.cz/rocenky/DZ_OO/pril_practexty/BK02/2_CO2Emise.pdf" TargetMode="External"/><Relationship Id="rId7" Type="http://schemas.openxmlformats.org/officeDocument/2006/relationships/drawing" Target="../drawings/drawing28.xml"/><Relationship Id="rId2" Type="http://schemas.openxmlformats.org/officeDocument/2006/relationships/hyperlink" Target="https://www.canadianbiomassmagazine.ca/images/stories/c02_whitepaper.pdf" TargetMode="External"/><Relationship Id="rId1" Type="http://schemas.openxmlformats.org/officeDocument/2006/relationships/hyperlink" Target="https://www.convertunits.com/from/MWh/to/gigajoule" TargetMode="External"/><Relationship Id="rId6" Type="http://schemas.openxmlformats.org/officeDocument/2006/relationships/printerSettings" Target="../printerSettings/printerSettings22.bin"/><Relationship Id="rId5" Type="http://schemas.openxmlformats.org/officeDocument/2006/relationships/hyperlink" Target="https://www.mpo.cz/dokument6794.html" TargetMode="External"/><Relationship Id="rId4" Type="http://schemas.openxmlformats.org/officeDocument/2006/relationships/hyperlink" Target="https://www.mpo.cz/dokument6794.html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nviteam.cz/" TargetMode="External"/><Relationship Id="rId2" Type="http://schemas.openxmlformats.org/officeDocument/2006/relationships/hyperlink" Target="https://enviteam.cz/seminare/2023-06/pozvanka-uhlikova-stopa-podniku-a-vyrobku.pdf" TargetMode="External"/><Relationship Id="rId1" Type="http://schemas.openxmlformats.org/officeDocument/2006/relationships/hyperlink" Target="https://deloitte.wsj.com/articles/chart-a-clear-path-to-net-zero-with-4-big-steps-01657133198?mod=Deloitte_sb_wsjarticle2_300x200" TargetMode="External"/><Relationship Id="rId5" Type="http://schemas.openxmlformats.org/officeDocument/2006/relationships/drawing" Target="../drawings/drawing29.xml"/><Relationship Id="rId4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asquare.cz/workshop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asquare.cz/workshop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square.cz/workshop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395F4-50C9-429C-99D5-48CCEB0C2B0F}">
  <dimension ref="B1:F36"/>
  <sheetViews>
    <sheetView tabSelected="1" topLeftCell="A3" workbookViewId="0">
      <selection activeCell="P8" sqref="P8"/>
    </sheetView>
  </sheetViews>
  <sheetFormatPr defaultRowHeight="14.4"/>
  <cols>
    <col min="2" max="2" width="18.5546875" customWidth="1"/>
    <col min="3" max="3" width="16" customWidth="1"/>
    <col min="4" max="4" width="14" customWidth="1"/>
    <col min="5" max="5" width="29.88671875" customWidth="1"/>
  </cols>
  <sheetData>
    <row r="1" spans="2:6" ht="15.6">
      <c r="C1" t="s">
        <v>394</v>
      </c>
    </row>
    <row r="2" spans="2:6">
      <c r="B2" t="s">
        <v>253</v>
      </c>
      <c r="C2" t="s">
        <v>270</v>
      </c>
    </row>
    <row r="3" spans="2:6" ht="15.6">
      <c r="B3" s="246" t="s">
        <v>252</v>
      </c>
      <c r="C3" s="390" t="s">
        <v>331</v>
      </c>
      <c r="D3" s="389" t="s">
        <v>35</v>
      </c>
      <c r="E3" t="s">
        <v>332</v>
      </c>
    </row>
    <row r="4" spans="2:6" ht="15.6">
      <c r="B4" s="246" t="s">
        <v>252</v>
      </c>
      <c r="C4" s="390" t="s">
        <v>333</v>
      </c>
      <c r="D4" s="389" t="s">
        <v>35</v>
      </c>
      <c r="E4" t="s">
        <v>334</v>
      </c>
    </row>
    <row r="5" spans="2:6" ht="15.6">
      <c r="B5" s="246" t="s">
        <v>252</v>
      </c>
      <c r="C5" s="368" t="s">
        <v>240</v>
      </c>
      <c r="D5" s="368" t="s">
        <v>35</v>
      </c>
      <c r="E5" t="s">
        <v>384</v>
      </c>
    </row>
    <row r="6" spans="2:6">
      <c r="B6" s="246" t="s">
        <v>252</v>
      </c>
      <c r="C6" s="349" t="s">
        <v>251</v>
      </c>
      <c r="D6" s="349" t="s">
        <v>278</v>
      </c>
      <c r="E6" t="s">
        <v>274</v>
      </c>
      <c r="F6" t="s">
        <v>312</v>
      </c>
    </row>
    <row r="7" spans="2:6">
      <c r="B7" s="246" t="s">
        <v>252</v>
      </c>
      <c r="C7" s="350" t="s">
        <v>241</v>
      </c>
      <c r="D7" s="350" t="s">
        <v>278</v>
      </c>
      <c r="E7" t="s">
        <v>274</v>
      </c>
      <c r="F7" t="s">
        <v>312</v>
      </c>
    </row>
    <row r="8" spans="2:6">
      <c r="B8" s="246" t="s">
        <v>252</v>
      </c>
      <c r="C8" s="246" t="s">
        <v>250</v>
      </c>
      <c r="D8" s="246" t="s">
        <v>20</v>
      </c>
      <c r="E8" t="s">
        <v>385</v>
      </c>
    </row>
    <row r="9" spans="2:6">
      <c r="B9" s="246" t="s">
        <v>257</v>
      </c>
      <c r="C9" s="351" t="s">
        <v>285</v>
      </c>
      <c r="D9" s="351" t="s">
        <v>301</v>
      </c>
      <c r="E9" t="s">
        <v>392</v>
      </c>
    </row>
    <row r="10" spans="2:6">
      <c r="B10" s="246" t="s">
        <v>252</v>
      </c>
      <c r="C10" s="352" t="s">
        <v>233</v>
      </c>
      <c r="D10" s="352" t="s">
        <v>231</v>
      </c>
      <c r="E10" s="352" t="s">
        <v>387</v>
      </c>
      <c r="F10" t="s">
        <v>393</v>
      </c>
    </row>
    <row r="11" spans="2:6">
      <c r="B11" s="246"/>
      <c r="C11" s="246"/>
      <c r="D11" s="246"/>
      <c r="E11" s="246" t="s">
        <v>233</v>
      </c>
      <c r="F11" t="s">
        <v>388</v>
      </c>
    </row>
    <row r="12" spans="2:6">
      <c r="B12" s="246"/>
      <c r="C12" s="246"/>
      <c r="D12" s="246"/>
      <c r="E12" s="246" t="s">
        <v>233</v>
      </c>
      <c r="F12" t="s">
        <v>390</v>
      </c>
    </row>
    <row r="13" spans="2:6">
      <c r="B13" s="246"/>
      <c r="C13" s="246"/>
      <c r="D13" s="246"/>
      <c r="E13" s="246" t="s">
        <v>233</v>
      </c>
      <c r="F13" t="s">
        <v>389</v>
      </c>
    </row>
    <row r="14" spans="2:6">
      <c r="B14" s="246"/>
      <c r="C14" s="246"/>
      <c r="D14" s="246"/>
      <c r="E14" s="246" t="s">
        <v>233</v>
      </c>
      <c r="F14" t="s">
        <v>319</v>
      </c>
    </row>
    <row r="15" spans="2:6">
      <c r="B15" s="246"/>
      <c r="C15" s="246"/>
      <c r="D15" s="246"/>
      <c r="E15" s="246" t="s">
        <v>233</v>
      </c>
      <c r="F15" t="s">
        <v>391</v>
      </c>
    </row>
    <row r="16" spans="2:6">
      <c r="B16" s="246" t="s">
        <v>252</v>
      </c>
      <c r="C16" s="353" t="s">
        <v>247</v>
      </c>
      <c r="D16" s="353" t="s">
        <v>20</v>
      </c>
      <c r="E16" t="s">
        <v>327</v>
      </c>
    </row>
    <row r="17" spans="2:5">
      <c r="B17" s="246" t="s">
        <v>252</v>
      </c>
      <c r="C17" s="246" t="s">
        <v>260</v>
      </c>
      <c r="D17" s="246"/>
      <c r="E17" t="s">
        <v>273</v>
      </c>
    </row>
    <row r="19" spans="2:5">
      <c r="C19" t="s">
        <v>261</v>
      </c>
    </row>
    <row r="20" spans="2:5">
      <c r="B20" s="246" t="s">
        <v>257</v>
      </c>
      <c r="C20" s="246" t="s">
        <v>254</v>
      </c>
      <c r="E20" t="s">
        <v>395</v>
      </c>
    </row>
    <row r="21" spans="2:5">
      <c r="B21" s="246" t="s">
        <v>252</v>
      </c>
      <c r="C21" s="246" t="s">
        <v>255</v>
      </c>
      <c r="E21" t="s">
        <v>396</v>
      </c>
    </row>
    <row r="22" spans="2:5">
      <c r="B22" s="246" t="s">
        <v>258</v>
      </c>
      <c r="C22" s="246" t="s">
        <v>266</v>
      </c>
      <c r="E22" t="s">
        <v>256</v>
      </c>
    </row>
    <row r="23" spans="2:5">
      <c r="B23" s="246" t="s">
        <v>258</v>
      </c>
      <c r="C23" s="246" t="s">
        <v>262</v>
      </c>
      <c r="E23" t="s">
        <v>322</v>
      </c>
    </row>
    <row r="24" spans="2:5">
      <c r="B24" s="246" t="s">
        <v>252</v>
      </c>
      <c r="C24" s="246" t="s">
        <v>267</v>
      </c>
      <c r="E24" t="s">
        <v>313</v>
      </c>
    </row>
    <row r="25" spans="2:5" ht="15.6">
      <c r="B25" s="246" t="s">
        <v>252</v>
      </c>
      <c r="C25" s="246" t="s">
        <v>314</v>
      </c>
      <c r="E25" t="s">
        <v>324</v>
      </c>
    </row>
    <row r="26" spans="2:5">
      <c r="E26" t="s">
        <v>325</v>
      </c>
    </row>
    <row r="27" spans="2:5">
      <c r="E27" t="s">
        <v>282</v>
      </c>
    </row>
    <row r="28" spans="2:5">
      <c r="E28" t="s">
        <v>320</v>
      </c>
    </row>
    <row r="29" spans="2:5">
      <c r="E29" t="s">
        <v>321</v>
      </c>
    </row>
    <row r="30" spans="2:5">
      <c r="E30" t="s">
        <v>283</v>
      </c>
    </row>
    <row r="31" spans="2:5">
      <c r="E31" t="s">
        <v>323</v>
      </c>
    </row>
    <row r="34" spans="2:5">
      <c r="B34" t="s">
        <v>335</v>
      </c>
      <c r="E34" t="s">
        <v>338</v>
      </c>
    </row>
    <row r="35" spans="2:5">
      <c r="B35" t="s">
        <v>336</v>
      </c>
      <c r="E35" t="s">
        <v>338</v>
      </c>
    </row>
    <row r="36" spans="2:5">
      <c r="B36" t="s">
        <v>337</v>
      </c>
      <c r="E36" t="s">
        <v>338</v>
      </c>
    </row>
  </sheetData>
  <phoneticPr fontId="74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981C3-4BAD-4614-A40C-9D1EC26FC06A}">
  <sheetPr>
    <tabColor theme="6" tint="0.79998168889431442"/>
  </sheetPr>
  <dimension ref="B1:T34"/>
  <sheetViews>
    <sheetView zoomScale="90" zoomScaleNormal="90" workbookViewId="0">
      <selection activeCell="L7" sqref="L7"/>
    </sheetView>
  </sheetViews>
  <sheetFormatPr defaultColWidth="9.109375" defaultRowHeight="14.4"/>
  <cols>
    <col min="13" max="13" width="12" customWidth="1"/>
    <col min="14" max="14" width="11" customWidth="1"/>
    <col min="15" max="15" width="9.109375" style="6"/>
  </cols>
  <sheetData>
    <row r="1" spans="2:20">
      <c r="C1">
        <v>2022</v>
      </c>
      <c r="M1">
        <f>C1</f>
        <v>2022</v>
      </c>
    </row>
    <row r="3" spans="2:20" ht="15" thickBot="1">
      <c r="B3" s="372"/>
      <c r="C3" s="372"/>
      <c r="D3" s="372"/>
      <c r="E3" s="372"/>
      <c r="F3" s="372"/>
      <c r="G3" s="372"/>
      <c r="H3" s="372"/>
      <c r="I3" s="372"/>
      <c r="J3" s="372"/>
      <c r="L3" s="32"/>
      <c r="M3" s="32"/>
      <c r="N3" s="32"/>
      <c r="O3" s="37"/>
      <c r="P3" s="32"/>
    </row>
    <row r="4" spans="2:20" ht="18">
      <c r="B4" s="372"/>
      <c r="C4" s="377" t="s">
        <v>40</v>
      </c>
      <c r="D4" s="21"/>
      <c r="E4" s="21"/>
      <c r="F4" s="21"/>
      <c r="G4" s="21"/>
      <c r="H4" s="22"/>
      <c r="I4" s="372"/>
      <c r="J4" s="372"/>
      <c r="L4" s="32"/>
      <c r="M4" s="109" t="s">
        <v>41</v>
      </c>
      <c r="N4" s="21" t="s">
        <v>311</v>
      </c>
      <c r="O4" s="38" t="s">
        <v>328</v>
      </c>
      <c r="P4" s="32"/>
    </row>
    <row r="5" spans="2:20">
      <c r="B5" s="372"/>
      <c r="C5" s="23"/>
      <c r="D5" s="393" t="str">
        <f>N4</f>
        <v>Dilna1</v>
      </c>
      <c r="E5" s="394"/>
      <c r="F5" s="395"/>
      <c r="G5" s="396" t="str">
        <f>O4</f>
        <v>Vez</v>
      </c>
      <c r="H5" s="397"/>
      <c r="I5" s="372"/>
      <c r="J5" s="372"/>
      <c r="L5" s="32"/>
      <c r="M5" s="23"/>
      <c r="N5" s="1" t="s">
        <v>205</v>
      </c>
      <c r="O5" s="39" t="s">
        <v>204</v>
      </c>
      <c r="P5" s="32"/>
      <c r="T5" t="s">
        <v>66</v>
      </c>
    </row>
    <row r="6" spans="2:20" ht="15" thickBot="1">
      <c r="B6" s="372"/>
      <c r="C6" s="24"/>
      <c r="D6" s="43" t="s">
        <v>61</v>
      </c>
      <c r="E6" s="43" t="s">
        <v>62</v>
      </c>
      <c r="F6" s="25">
        <v>3</v>
      </c>
      <c r="G6" s="43" t="s">
        <v>276</v>
      </c>
      <c r="H6" s="53" t="s">
        <v>330</v>
      </c>
      <c r="I6" s="372"/>
      <c r="J6" s="373"/>
      <c r="L6" s="32">
        <v>2021</v>
      </c>
      <c r="M6" s="23"/>
      <c r="N6" s="1">
        <v>19.8</v>
      </c>
      <c r="O6" s="40"/>
      <c r="P6" s="33"/>
      <c r="T6" t="s">
        <v>63</v>
      </c>
    </row>
    <row r="7" spans="2:20">
      <c r="B7" s="372"/>
      <c r="C7" s="49">
        <v>1</v>
      </c>
      <c r="D7" s="50">
        <v>4.1500000000000004</v>
      </c>
      <c r="E7" s="50"/>
      <c r="F7" s="50"/>
      <c r="G7" s="51"/>
      <c r="H7" s="52">
        <v>1.3</v>
      </c>
      <c r="I7" s="372"/>
      <c r="J7" s="374"/>
      <c r="L7" s="32"/>
      <c r="M7" s="28">
        <v>1</v>
      </c>
      <c r="N7" s="18"/>
      <c r="O7" s="39">
        <v>0.7</v>
      </c>
      <c r="P7" s="34"/>
      <c r="T7" t="s">
        <v>65</v>
      </c>
    </row>
    <row r="8" spans="2:20">
      <c r="B8" s="372"/>
      <c r="C8" s="28">
        <v>2</v>
      </c>
      <c r="D8" s="18">
        <v>3.93</v>
      </c>
      <c r="E8" s="18"/>
      <c r="F8" s="18"/>
      <c r="G8" s="45"/>
      <c r="H8" s="47">
        <v>0.9</v>
      </c>
      <c r="I8" s="372"/>
      <c r="J8" s="374"/>
      <c r="L8" s="32"/>
      <c r="M8" s="28">
        <v>2</v>
      </c>
      <c r="N8" s="18"/>
      <c r="O8" s="39">
        <v>0.6</v>
      </c>
      <c r="P8" s="34"/>
      <c r="T8" t="s">
        <v>64</v>
      </c>
    </row>
    <row r="9" spans="2:20">
      <c r="B9" s="372"/>
      <c r="C9" s="28">
        <v>3</v>
      </c>
      <c r="D9" s="18">
        <v>4.21</v>
      </c>
      <c r="E9" s="1"/>
      <c r="F9" s="1"/>
      <c r="G9" s="45"/>
      <c r="H9" s="47">
        <v>1.3</v>
      </c>
      <c r="I9" s="372"/>
      <c r="J9" s="374"/>
      <c r="L9" s="32"/>
      <c r="M9" s="28">
        <v>3</v>
      </c>
      <c r="N9" s="1"/>
      <c r="O9" s="39">
        <v>0.5</v>
      </c>
      <c r="P9" s="34"/>
      <c r="T9" t="s">
        <v>186</v>
      </c>
    </row>
    <row r="10" spans="2:20">
      <c r="B10" s="372"/>
      <c r="C10" s="28">
        <v>4</v>
      </c>
      <c r="D10" s="1">
        <v>4.18</v>
      </c>
      <c r="E10" s="1"/>
      <c r="F10" s="1"/>
      <c r="G10" s="45"/>
      <c r="H10" s="39">
        <v>1.2</v>
      </c>
      <c r="I10" s="372"/>
      <c r="J10" s="375"/>
      <c r="L10" s="32"/>
      <c r="M10" s="28">
        <v>4</v>
      </c>
      <c r="N10" s="1"/>
      <c r="O10" s="41">
        <v>0.3</v>
      </c>
      <c r="P10" s="35"/>
      <c r="T10" t="s">
        <v>48</v>
      </c>
    </row>
    <row r="11" spans="2:20">
      <c r="B11" s="372"/>
      <c r="C11" s="28">
        <v>5</v>
      </c>
      <c r="D11" s="1">
        <v>4.75</v>
      </c>
      <c r="E11" s="1"/>
      <c r="F11" s="1"/>
      <c r="G11" s="45"/>
      <c r="H11" s="47">
        <v>1.1000000000000001</v>
      </c>
      <c r="I11" s="372"/>
      <c r="J11" s="375"/>
      <c r="L11" s="32">
        <v>2022</v>
      </c>
      <c r="M11" s="28">
        <v>5</v>
      </c>
      <c r="N11" s="1">
        <v>26.7</v>
      </c>
      <c r="O11" s="41">
        <v>0.1</v>
      </c>
      <c r="P11" s="44"/>
    </row>
    <row r="12" spans="2:20">
      <c r="B12" s="372"/>
      <c r="C12" s="29">
        <v>6</v>
      </c>
      <c r="D12" s="20">
        <v>3.18</v>
      </c>
      <c r="E12" s="20"/>
      <c r="F12" s="20"/>
      <c r="G12" s="46"/>
      <c r="H12" s="48">
        <v>0.6</v>
      </c>
      <c r="I12" s="372"/>
      <c r="J12" s="375"/>
      <c r="L12" s="32"/>
      <c r="M12" s="29">
        <v>6</v>
      </c>
      <c r="N12" s="20"/>
      <c r="O12" s="41">
        <v>0</v>
      </c>
      <c r="P12" s="35"/>
    </row>
    <row r="13" spans="2:20">
      <c r="B13" s="372"/>
      <c r="C13" s="29">
        <v>7</v>
      </c>
      <c r="D13" s="20">
        <v>3.12</v>
      </c>
      <c r="E13" s="20"/>
      <c r="F13" s="20"/>
      <c r="G13" s="46"/>
      <c r="H13" s="48">
        <v>0.6</v>
      </c>
      <c r="I13" s="372"/>
      <c r="J13" s="375"/>
      <c r="L13" s="32"/>
      <c r="M13" s="29">
        <v>7</v>
      </c>
      <c r="N13" s="20"/>
      <c r="O13" s="41">
        <v>0</v>
      </c>
      <c r="P13" s="35"/>
    </row>
    <row r="14" spans="2:20">
      <c r="B14" s="372"/>
      <c r="C14" s="29">
        <v>8</v>
      </c>
      <c r="D14" s="19">
        <v>3.38</v>
      </c>
      <c r="E14" s="19"/>
      <c r="F14" s="19"/>
      <c r="G14" s="46"/>
      <c r="H14" s="41">
        <v>0.8</v>
      </c>
      <c r="I14" s="372"/>
      <c r="J14" s="375"/>
      <c r="L14" s="32"/>
      <c r="M14" s="29">
        <v>8</v>
      </c>
      <c r="N14" s="19"/>
      <c r="O14" s="41">
        <v>0</v>
      </c>
      <c r="P14" s="35"/>
    </row>
    <row r="15" spans="2:20">
      <c r="B15" s="372"/>
      <c r="C15" s="28">
        <v>9</v>
      </c>
      <c r="D15" s="1">
        <v>2.65</v>
      </c>
      <c r="E15" s="1"/>
      <c r="F15" s="1"/>
      <c r="G15" s="46"/>
      <c r="H15" s="39">
        <v>0.9</v>
      </c>
      <c r="I15" s="372"/>
      <c r="J15" s="372"/>
      <c r="L15" s="32"/>
      <c r="M15" s="28">
        <v>9</v>
      </c>
      <c r="N15" s="1"/>
      <c r="O15" s="39">
        <v>0.2</v>
      </c>
      <c r="P15" s="32"/>
    </row>
    <row r="16" spans="2:20">
      <c r="B16" s="372"/>
      <c r="C16" s="28">
        <v>10</v>
      </c>
      <c r="D16" s="1">
        <v>2.59</v>
      </c>
      <c r="E16" s="1"/>
      <c r="F16" s="1"/>
      <c r="G16" s="45"/>
      <c r="H16" s="39">
        <v>1.1000000000000001</v>
      </c>
      <c r="I16" s="372"/>
      <c r="J16" s="372"/>
      <c r="L16" s="32"/>
      <c r="M16" s="28">
        <v>10</v>
      </c>
      <c r="N16" s="1"/>
      <c r="O16" s="39">
        <v>0.3</v>
      </c>
      <c r="P16" s="32"/>
    </row>
    <row r="17" spans="2:16">
      <c r="B17" s="372"/>
      <c r="C17" s="28">
        <v>11</v>
      </c>
      <c r="D17" s="1">
        <v>3.98</v>
      </c>
      <c r="E17" s="1"/>
      <c r="F17" s="1"/>
      <c r="G17" s="45"/>
      <c r="H17" s="39">
        <v>1.3</v>
      </c>
      <c r="I17" s="372"/>
      <c r="J17" s="372"/>
      <c r="L17" s="32"/>
      <c r="M17" s="28">
        <v>11</v>
      </c>
      <c r="N17" s="1"/>
      <c r="O17" s="39">
        <v>0.4</v>
      </c>
      <c r="P17" s="32"/>
    </row>
    <row r="18" spans="2:16" ht="15" thickBot="1">
      <c r="B18" s="372"/>
      <c r="C18" s="28">
        <v>12</v>
      </c>
      <c r="D18" s="18">
        <v>3.15</v>
      </c>
      <c r="E18" s="18"/>
      <c r="F18" s="18"/>
      <c r="G18" s="45"/>
      <c r="H18" s="39">
        <v>1.3</v>
      </c>
      <c r="I18" s="376" t="s">
        <v>8</v>
      </c>
      <c r="J18" s="372"/>
      <c r="L18" s="32"/>
      <c r="M18" s="28">
        <v>12</v>
      </c>
      <c r="N18" s="27"/>
      <c r="O18" s="39">
        <v>0.6</v>
      </c>
      <c r="P18" s="32" t="s">
        <v>8</v>
      </c>
    </row>
    <row r="19" spans="2:16" ht="18.600000000000001" thickBot="1">
      <c r="B19" s="372"/>
      <c r="C19" s="24"/>
      <c r="D19" s="43">
        <f>SUM(D7:D18)</f>
        <v>43.269999999999996</v>
      </c>
      <c r="E19" s="25">
        <f t="shared" ref="E19:F19" si="0">SUM(E7:E18)</f>
        <v>0</v>
      </c>
      <c r="F19" s="25">
        <f t="shared" si="0"/>
        <v>0</v>
      </c>
      <c r="G19" s="25">
        <f>SUM(G7:G18)</f>
        <v>0</v>
      </c>
      <c r="H19" s="26">
        <f>SUM(H7:H18)</f>
        <v>12.4</v>
      </c>
      <c r="I19" s="124">
        <f>SUM(D19:H19)</f>
        <v>55.669999999999995</v>
      </c>
      <c r="J19" s="372"/>
      <c r="L19" s="32"/>
      <c r="M19" s="24"/>
      <c r="N19" s="43">
        <f>SUM(N7:N18)</f>
        <v>26.7</v>
      </c>
      <c r="O19" s="42">
        <f>SUM(O7:O18)</f>
        <v>3.6999999999999997</v>
      </c>
      <c r="P19" s="125">
        <f>N19+O19</f>
        <v>30.4</v>
      </c>
    </row>
    <row r="20" spans="2:16">
      <c r="B20" s="372"/>
      <c r="C20" s="372"/>
      <c r="D20" s="372"/>
      <c r="E20" s="372"/>
      <c r="F20" s="372"/>
      <c r="G20" s="372"/>
      <c r="H20" s="372"/>
      <c r="I20" s="372"/>
      <c r="J20" s="372"/>
      <c r="L20" s="32"/>
      <c r="M20" s="32"/>
      <c r="N20" s="32"/>
      <c r="O20" s="37"/>
      <c r="P20" s="32"/>
    </row>
    <row r="22" spans="2:16">
      <c r="I22" s="2"/>
    </row>
    <row r="31" spans="2:16" ht="15" thickBot="1"/>
    <row r="32" spans="2:16">
      <c r="H32" s="380"/>
      <c r="I32" s="381" t="str">
        <f>N4</f>
        <v>Dilna1</v>
      </c>
      <c r="J32" s="382" t="str">
        <f>O4</f>
        <v>Vez</v>
      </c>
    </row>
    <row r="33" spans="8:10">
      <c r="H33" s="383" t="s">
        <v>310</v>
      </c>
      <c r="I33" s="379">
        <f>D19</f>
        <v>43.269999999999996</v>
      </c>
      <c r="J33" s="384">
        <f>H19</f>
        <v>12.4</v>
      </c>
    </row>
    <row r="34" spans="8:10" ht="15" thickBot="1">
      <c r="H34" s="385" t="s">
        <v>241</v>
      </c>
      <c r="I34" s="386">
        <f>N19</f>
        <v>26.7</v>
      </c>
      <c r="J34" s="387">
        <f>O19</f>
        <v>3.6999999999999997</v>
      </c>
    </row>
  </sheetData>
  <mergeCells count="2">
    <mergeCell ref="D5:F5"/>
    <mergeCell ref="G5:H5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D12A9-99AE-4AF2-B9EE-E31274D5DBC4}">
  <sheetPr>
    <tabColor theme="6" tint="0.79998168889431442"/>
  </sheetPr>
  <dimension ref="B1:T34"/>
  <sheetViews>
    <sheetView zoomScale="90" zoomScaleNormal="90" workbookViewId="0">
      <selection activeCell="K38" sqref="K38"/>
    </sheetView>
  </sheetViews>
  <sheetFormatPr defaultColWidth="9.109375" defaultRowHeight="14.4"/>
  <cols>
    <col min="13" max="13" width="12" customWidth="1"/>
    <col min="14" max="14" width="11" customWidth="1"/>
    <col min="15" max="15" width="9.109375" style="6"/>
  </cols>
  <sheetData>
    <row r="1" spans="2:20">
      <c r="C1">
        <v>2023</v>
      </c>
      <c r="M1">
        <f>C1</f>
        <v>2023</v>
      </c>
    </row>
    <row r="3" spans="2:20" ht="15" thickBot="1">
      <c r="B3" s="372"/>
      <c r="C3" s="372"/>
      <c r="D3" s="372"/>
      <c r="E3" s="372"/>
      <c r="F3" s="372"/>
      <c r="G3" s="372"/>
      <c r="H3" s="372"/>
      <c r="I3" s="372"/>
      <c r="J3" s="372"/>
      <c r="L3" s="32"/>
      <c r="M3" s="32"/>
      <c r="N3" s="32"/>
      <c r="O3" s="37"/>
      <c r="P3" s="32"/>
    </row>
    <row r="4" spans="2:20" ht="18">
      <c r="B4" s="372"/>
      <c r="C4" s="377" t="s">
        <v>40</v>
      </c>
      <c r="D4" s="21"/>
      <c r="E4" s="21"/>
      <c r="F4" s="21"/>
      <c r="G4" s="21"/>
      <c r="H4" s="22"/>
      <c r="I4" s="372"/>
      <c r="J4" s="372"/>
      <c r="L4" s="32"/>
      <c r="M4" s="109" t="s">
        <v>41</v>
      </c>
      <c r="N4" s="21" t="s">
        <v>311</v>
      </c>
      <c r="O4" s="38" t="s">
        <v>328</v>
      </c>
      <c r="P4" s="32"/>
    </row>
    <row r="5" spans="2:20">
      <c r="B5" s="372"/>
      <c r="C5" s="23"/>
      <c r="D5" s="393" t="str">
        <f>N4</f>
        <v>Dilna1</v>
      </c>
      <c r="E5" s="394"/>
      <c r="F5" s="395"/>
      <c r="G5" s="396" t="str">
        <f>O4</f>
        <v>Vez</v>
      </c>
      <c r="H5" s="397"/>
      <c r="I5" s="372"/>
      <c r="J5" s="372"/>
      <c r="L5" s="32"/>
      <c r="M5" s="23"/>
      <c r="N5" s="1" t="s">
        <v>205</v>
      </c>
      <c r="O5" s="39" t="s">
        <v>204</v>
      </c>
      <c r="P5" s="32"/>
      <c r="T5" t="s">
        <v>66</v>
      </c>
    </row>
    <row r="6" spans="2:20" ht="15" thickBot="1">
      <c r="B6" s="372"/>
      <c r="C6" s="24"/>
      <c r="D6" s="43" t="s">
        <v>61</v>
      </c>
      <c r="E6" s="43" t="s">
        <v>62</v>
      </c>
      <c r="F6" s="25">
        <v>3</v>
      </c>
      <c r="G6" s="43" t="s">
        <v>276</v>
      </c>
      <c r="H6" s="53" t="s">
        <v>330</v>
      </c>
      <c r="I6" s="372"/>
      <c r="J6" s="373"/>
      <c r="L6" s="32">
        <v>2022</v>
      </c>
      <c r="M6" s="23"/>
      <c r="N6" s="1">
        <v>20.8</v>
      </c>
      <c r="O6" s="40"/>
      <c r="P6" s="33"/>
      <c r="T6" t="s">
        <v>63</v>
      </c>
    </row>
    <row r="7" spans="2:20">
      <c r="B7" s="372"/>
      <c r="C7" s="49">
        <v>1</v>
      </c>
      <c r="D7" s="50">
        <v>5.12</v>
      </c>
      <c r="E7" s="50"/>
      <c r="F7" s="50"/>
      <c r="G7" s="51"/>
      <c r="H7" s="52">
        <v>1.3</v>
      </c>
      <c r="I7" s="372"/>
      <c r="J7" s="374"/>
      <c r="L7" s="32"/>
      <c r="M7" s="28">
        <v>1</v>
      </c>
      <c r="N7" s="18"/>
      <c r="O7" s="39">
        <v>0.7</v>
      </c>
      <c r="P7" s="34"/>
      <c r="T7" t="s">
        <v>65</v>
      </c>
    </row>
    <row r="8" spans="2:20">
      <c r="B8" s="372"/>
      <c r="C8" s="28">
        <v>2</v>
      </c>
      <c r="D8" s="18">
        <v>3.93</v>
      </c>
      <c r="E8" s="18"/>
      <c r="F8" s="18"/>
      <c r="G8" s="45"/>
      <c r="H8" s="47">
        <v>1.3</v>
      </c>
      <c r="I8" s="372"/>
      <c r="J8" s="374"/>
      <c r="L8" s="32"/>
      <c r="M8" s="28">
        <v>2</v>
      </c>
      <c r="N8" s="18"/>
      <c r="O8" s="39">
        <v>0.6</v>
      </c>
      <c r="P8" s="34"/>
      <c r="T8" t="s">
        <v>64</v>
      </c>
    </row>
    <row r="9" spans="2:20">
      <c r="B9" s="372"/>
      <c r="C9" s="28">
        <v>3</v>
      </c>
      <c r="D9" s="18">
        <v>4.21</v>
      </c>
      <c r="E9" s="1"/>
      <c r="F9" s="1"/>
      <c r="G9" s="45"/>
      <c r="H9" s="47">
        <v>1.3</v>
      </c>
      <c r="I9" s="372"/>
      <c r="J9" s="374"/>
      <c r="L9" s="32"/>
      <c r="M9" s="28">
        <v>3</v>
      </c>
      <c r="N9" s="1"/>
      <c r="O9" s="39">
        <v>0.5</v>
      </c>
      <c r="P9" s="34"/>
      <c r="T9" t="s">
        <v>186</v>
      </c>
    </row>
    <row r="10" spans="2:20">
      <c r="B10" s="372"/>
      <c r="C10" s="28">
        <v>4</v>
      </c>
      <c r="D10" s="1">
        <v>4.18</v>
      </c>
      <c r="E10" s="1"/>
      <c r="F10" s="1"/>
      <c r="G10" s="45"/>
      <c r="H10" s="39">
        <v>1.2</v>
      </c>
      <c r="I10" s="372"/>
      <c r="J10" s="375"/>
      <c r="L10" s="32"/>
      <c r="M10" s="28">
        <v>4</v>
      </c>
      <c r="N10" s="1"/>
      <c r="O10" s="41">
        <v>0.3</v>
      </c>
      <c r="P10" s="35"/>
      <c r="T10" t="s">
        <v>48</v>
      </c>
    </row>
    <row r="11" spans="2:20">
      <c r="B11" s="372"/>
      <c r="C11" s="28">
        <v>5</v>
      </c>
      <c r="D11" s="1">
        <v>4.75</v>
      </c>
      <c r="E11" s="1"/>
      <c r="F11" s="1"/>
      <c r="G11" s="45"/>
      <c r="H11" s="47">
        <v>1.1000000000000001</v>
      </c>
      <c r="I11" s="372"/>
      <c r="J11" s="375"/>
      <c r="L11" s="32">
        <v>2023</v>
      </c>
      <c r="M11" s="28">
        <v>5</v>
      </c>
      <c r="N11" s="1">
        <v>26.7</v>
      </c>
      <c r="O11" s="41">
        <v>0.1</v>
      </c>
      <c r="P11" s="44"/>
    </row>
    <row r="12" spans="2:20">
      <c r="B12" s="372"/>
      <c r="C12" s="29">
        <v>6</v>
      </c>
      <c r="D12" s="20">
        <v>3.18</v>
      </c>
      <c r="E12" s="20"/>
      <c r="F12" s="20"/>
      <c r="G12" s="46"/>
      <c r="H12" s="48">
        <v>0.6</v>
      </c>
      <c r="I12" s="372"/>
      <c r="J12" s="375"/>
      <c r="L12" s="32"/>
      <c r="M12" s="29">
        <v>6</v>
      </c>
      <c r="N12" s="20"/>
      <c r="O12" s="41">
        <v>0</v>
      </c>
      <c r="P12" s="35"/>
    </row>
    <row r="13" spans="2:20">
      <c r="B13" s="372"/>
      <c r="C13" s="29">
        <v>7</v>
      </c>
      <c r="D13" s="20">
        <v>3.12</v>
      </c>
      <c r="E13" s="20"/>
      <c r="F13" s="20"/>
      <c r="G13" s="46"/>
      <c r="H13" s="48">
        <v>0.6</v>
      </c>
      <c r="I13" s="372"/>
      <c r="J13" s="375"/>
      <c r="L13" s="32"/>
      <c r="M13" s="29">
        <v>7</v>
      </c>
      <c r="N13" s="20"/>
      <c r="O13" s="41">
        <v>0</v>
      </c>
      <c r="P13" s="35"/>
    </row>
    <row r="14" spans="2:20">
      <c r="B14" s="372"/>
      <c r="C14" s="29">
        <v>8</v>
      </c>
      <c r="D14" s="19">
        <v>3.38</v>
      </c>
      <c r="E14" s="19"/>
      <c r="F14" s="19"/>
      <c r="G14" s="46"/>
      <c r="H14" s="41">
        <v>0.8</v>
      </c>
      <c r="I14" s="372"/>
      <c r="J14" s="375"/>
      <c r="L14" s="32"/>
      <c r="M14" s="29">
        <v>8</v>
      </c>
      <c r="N14" s="19"/>
      <c r="O14" s="41">
        <v>0</v>
      </c>
      <c r="P14" s="35"/>
    </row>
    <row r="15" spans="2:20">
      <c r="B15" s="372"/>
      <c r="C15" s="28">
        <v>9</v>
      </c>
      <c r="D15" s="1">
        <v>2.65</v>
      </c>
      <c r="E15" s="1"/>
      <c r="F15" s="1"/>
      <c r="G15" s="46"/>
      <c r="H15" s="39">
        <v>0.9</v>
      </c>
      <c r="I15" s="372"/>
      <c r="J15" s="372"/>
      <c r="L15" s="32"/>
      <c r="M15" s="28">
        <v>9</v>
      </c>
      <c r="N15" s="1"/>
      <c r="O15" s="39">
        <v>0.2</v>
      </c>
      <c r="P15" s="32"/>
    </row>
    <row r="16" spans="2:20">
      <c r="B16" s="372"/>
      <c r="C16" s="28">
        <v>10</v>
      </c>
      <c r="D16" s="1">
        <v>2.59</v>
      </c>
      <c r="E16" s="1"/>
      <c r="F16" s="1"/>
      <c r="G16" s="45"/>
      <c r="H16" s="39">
        <v>1.1000000000000001</v>
      </c>
      <c r="I16" s="372"/>
      <c r="J16" s="372"/>
      <c r="L16" s="32"/>
      <c r="M16" s="28">
        <v>10</v>
      </c>
      <c r="N16" s="1"/>
      <c r="O16" s="39">
        <v>0.3</v>
      </c>
      <c r="P16" s="32"/>
    </row>
    <row r="17" spans="2:16">
      <c r="B17" s="372"/>
      <c r="C17" s="28">
        <v>11</v>
      </c>
      <c r="D17" s="1">
        <v>3.98</v>
      </c>
      <c r="E17" s="1"/>
      <c r="F17" s="1"/>
      <c r="G17" s="45"/>
      <c r="H17" s="39">
        <v>1.3</v>
      </c>
      <c r="I17" s="372"/>
      <c r="J17" s="372"/>
      <c r="L17" s="32"/>
      <c r="M17" s="28">
        <v>11</v>
      </c>
      <c r="N17" s="1"/>
      <c r="O17" s="39">
        <v>0.4</v>
      </c>
      <c r="P17" s="32"/>
    </row>
    <row r="18" spans="2:16" ht="15" thickBot="1">
      <c r="B18" s="372"/>
      <c r="C18" s="28">
        <v>12</v>
      </c>
      <c r="D18" s="18">
        <v>4.1500000000000004</v>
      </c>
      <c r="E18" s="18"/>
      <c r="F18" s="18"/>
      <c r="G18" s="45"/>
      <c r="H18" s="39">
        <v>1.3</v>
      </c>
      <c r="I18" s="376" t="s">
        <v>8</v>
      </c>
      <c r="J18" s="372"/>
      <c r="L18" s="32"/>
      <c r="M18" s="28">
        <v>12</v>
      </c>
      <c r="N18" s="27"/>
      <c r="O18" s="39">
        <v>0.6</v>
      </c>
      <c r="P18" s="32" t="s">
        <v>8</v>
      </c>
    </row>
    <row r="19" spans="2:16" ht="18.600000000000001" thickBot="1">
      <c r="B19" s="372"/>
      <c r="C19" s="24"/>
      <c r="D19" s="43">
        <f>SUM(D7:D18)</f>
        <v>45.239999999999995</v>
      </c>
      <c r="E19" s="25">
        <f t="shared" ref="E19:F19" si="0">SUM(E7:E18)</f>
        <v>0</v>
      </c>
      <c r="F19" s="25">
        <f t="shared" si="0"/>
        <v>0</v>
      </c>
      <c r="G19" s="25">
        <f>SUM(G7:G18)</f>
        <v>0</v>
      </c>
      <c r="H19" s="26">
        <f>SUM(H7:H18)</f>
        <v>12.800000000000002</v>
      </c>
      <c r="I19" s="124">
        <f>SUM(D19:H19)</f>
        <v>58.04</v>
      </c>
      <c r="J19" s="372"/>
      <c r="L19" s="32"/>
      <c r="M19" s="24"/>
      <c r="N19" s="43">
        <f>SUM(N7:N18)</f>
        <v>26.7</v>
      </c>
      <c r="O19" s="42">
        <f>SUM(O7:O18)</f>
        <v>3.6999999999999997</v>
      </c>
      <c r="P19" s="125">
        <f>N19+O19</f>
        <v>30.4</v>
      </c>
    </row>
    <row r="20" spans="2:16">
      <c r="B20" s="372"/>
      <c r="C20" s="372"/>
      <c r="D20" s="372"/>
      <c r="E20" s="372"/>
      <c r="F20" s="372"/>
      <c r="G20" s="372"/>
      <c r="H20" s="372"/>
      <c r="I20" s="372"/>
      <c r="J20" s="372"/>
      <c r="L20" s="32"/>
      <c r="M20" s="32"/>
      <c r="N20" s="32"/>
      <c r="O20" s="37"/>
      <c r="P20" s="32"/>
    </row>
    <row r="22" spans="2:16">
      <c r="I22" s="2"/>
    </row>
    <row r="31" spans="2:16" ht="15" thickBot="1"/>
    <row r="32" spans="2:16">
      <c r="H32" s="380"/>
      <c r="I32" s="381" t="str">
        <f>N4</f>
        <v>Dilna1</v>
      </c>
      <c r="J32" s="382" t="str">
        <f>O4</f>
        <v>Vez</v>
      </c>
    </row>
    <row r="33" spans="8:10">
      <c r="H33" s="383" t="s">
        <v>310</v>
      </c>
      <c r="I33" s="379">
        <f>D19</f>
        <v>45.239999999999995</v>
      </c>
      <c r="J33" s="384">
        <f>H19</f>
        <v>12.800000000000002</v>
      </c>
    </row>
    <row r="34" spans="8:10" ht="15" thickBot="1">
      <c r="H34" s="385" t="s">
        <v>241</v>
      </c>
      <c r="I34" s="386">
        <f>N19</f>
        <v>26.7</v>
      </c>
      <c r="J34" s="387">
        <f>O19</f>
        <v>3.6999999999999997</v>
      </c>
    </row>
  </sheetData>
  <mergeCells count="2">
    <mergeCell ref="D5:F5"/>
    <mergeCell ref="G5:H5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992D7-04F1-48A2-801D-2FC488F30D27}">
  <sheetPr>
    <tabColor rgb="FFFFC000"/>
  </sheetPr>
  <dimension ref="A1:V67"/>
  <sheetViews>
    <sheetView topLeftCell="C38" zoomScale="80" zoomScaleNormal="80" workbookViewId="0">
      <selection activeCell="T65" sqref="T65"/>
    </sheetView>
  </sheetViews>
  <sheetFormatPr defaultColWidth="8.88671875" defaultRowHeight="14.4"/>
  <cols>
    <col min="1" max="1" width="25" customWidth="1"/>
    <col min="2" max="2" width="17.5546875" style="5" customWidth="1"/>
    <col min="3" max="3" width="8" style="2" customWidth="1"/>
    <col min="4" max="4" width="46.33203125" style="8" customWidth="1"/>
    <col min="5" max="5" width="21.33203125" style="15" customWidth="1"/>
    <col min="6" max="6" width="8.88671875" style="16"/>
    <col min="9" max="9" width="11.109375" style="2" customWidth="1"/>
    <col min="10" max="10" width="13.33203125" customWidth="1"/>
    <col min="11" max="11" width="11.44140625" bestFit="1" customWidth="1"/>
    <col min="12" max="12" width="13.5546875" bestFit="1" customWidth="1"/>
    <col min="13" max="18" width="10.33203125" bestFit="1" customWidth="1"/>
    <col min="19" max="19" width="9.33203125" bestFit="1" customWidth="1"/>
    <col min="20" max="22" width="10.33203125" bestFit="1" customWidth="1"/>
  </cols>
  <sheetData>
    <row r="1" spans="1:22" ht="18">
      <c r="A1" s="229" t="s">
        <v>211</v>
      </c>
      <c r="B1" s="230" t="s">
        <v>69</v>
      </c>
      <c r="C1" s="230" t="s">
        <v>70</v>
      </c>
      <c r="D1" s="365" t="s">
        <v>212</v>
      </c>
      <c r="E1" s="366" t="s">
        <v>305</v>
      </c>
      <c r="F1" s="231"/>
      <c r="G1" s="88" t="s">
        <v>304</v>
      </c>
      <c r="H1" s="89"/>
      <c r="I1" s="88"/>
      <c r="J1" s="3"/>
      <c r="K1" s="3"/>
      <c r="O1" t="s">
        <v>329</v>
      </c>
    </row>
    <row r="2" spans="1:22" ht="15" customHeight="1">
      <c r="A2" s="77" t="s">
        <v>71</v>
      </c>
      <c r="B2" s="76" t="s">
        <v>72</v>
      </c>
      <c r="C2" s="76"/>
      <c r="D2" s="78" t="s">
        <v>73</v>
      </c>
      <c r="E2" s="79" t="s">
        <v>74</v>
      </c>
      <c r="F2" s="80"/>
      <c r="J2" s="3"/>
      <c r="K2" s="388" t="s">
        <v>75</v>
      </c>
      <c r="L2" s="388" t="s">
        <v>76</v>
      </c>
      <c r="M2" s="388" t="s">
        <v>77</v>
      </c>
      <c r="N2" s="388" t="s">
        <v>78</v>
      </c>
      <c r="O2" s="388" t="s">
        <v>79</v>
      </c>
      <c r="P2" s="388" t="s">
        <v>80</v>
      </c>
      <c r="Q2" s="388" t="s">
        <v>81</v>
      </c>
      <c r="R2" s="388" t="s">
        <v>82</v>
      </c>
      <c r="S2" s="388" t="s">
        <v>83</v>
      </c>
      <c r="T2" s="388" t="s">
        <v>84</v>
      </c>
      <c r="U2" s="388" t="s">
        <v>85</v>
      </c>
      <c r="V2" s="388" t="s">
        <v>86</v>
      </c>
    </row>
    <row r="3" spans="1:22" ht="15" customHeight="1">
      <c r="A3" s="81" t="s">
        <v>137</v>
      </c>
      <c r="B3" s="82" t="s">
        <v>89</v>
      </c>
      <c r="C3" s="73">
        <v>0.08</v>
      </c>
      <c r="D3" s="74" t="s">
        <v>199</v>
      </c>
      <c r="E3" s="83" t="s">
        <v>90</v>
      </c>
      <c r="F3" s="6"/>
      <c r="G3" t="s">
        <v>135</v>
      </c>
      <c r="H3" t="s">
        <v>135</v>
      </c>
      <c r="I3" t="s">
        <v>135</v>
      </c>
      <c r="J3" s="8"/>
      <c r="K3" s="12">
        <v>2.2400000000000002</v>
      </c>
      <c r="L3" s="12">
        <v>0.8</v>
      </c>
      <c r="M3" s="12">
        <v>4</v>
      </c>
      <c r="N3" s="90">
        <v>1.1000000000000001E-2</v>
      </c>
      <c r="O3" s="90">
        <v>0.48</v>
      </c>
      <c r="P3" s="90">
        <v>4.96</v>
      </c>
      <c r="Q3" s="12">
        <v>5.04</v>
      </c>
      <c r="R3" s="12">
        <v>3.5</v>
      </c>
      <c r="S3" s="12">
        <v>4.8800000000000008</v>
      </c>
      <c r="T3" s="90">
        <v>0</v>
      </c>
      <c r="U3" s="90">
        <v>5.04</v>
      </c>
      <c r="V3" s="90">
        <v>4.8</v>
      </c>
    </row>
    <row r="4" spans="1:22" ht="15" customHeight="1">
      <c r="A4" s="81"/>
      <c r="B4" s="82" t="s">
        <v>89</v>
      </c>
      <c r="C4" s="73">
        <v>0.09</v>
      </c>
      <c r="D4" s="74" t="s">
        <v>91</v>
      </c>
      <c r="E4" s="83" t="s">
        <v>140</v>
      </c>
      <c r="F4" s="6"/>
      <c r="G4" t="s">
        <v>135</v>
      </c>
      <c r="H4" t="s">
        <v>135</v>
      </c>
      <c r="I4" t="s">
        <v>135</v>
      </c>
      <c r="K4" s="12">
        <v>0.22500000000000001</v>
      </c>
      <c r="L4" s="12">
        <v>0</v>
      </c>
      <c r="M4" s="12">
        <v>0.22500000000000001</v>
      </c>
      <c r="N4" s="90">
        <v>0.22500000000000001</v>
      </c>
      <c r="O4" s="90">
        <v>0.45</v>
      </c>
      <c r="P4" s="90">
        <v>0</v>
      </c>
      <c r="Q4" s="12">
        <v>0</v>
      </c>
      <c r="R4" s="12">
        <v>0.09</v>
      </c>
      <c r="S4" s="12">
        <v>0</v>
      </c>
      <c r="T4" s="90">
        <v>4.4999999999999998E-2</v>
      </c>
      <c r="U4" s="90">
        <v>4.4999999999999998E-2</v>
      </c>
      <c r="V4" s="90">
        <v>0.26999999999999996</v>
      </c>
    </row>
    <row r="5" spans="1:22" ht="15" customHeight="1">
      <c r="A5" s="81"/>
      <c r="B5" s="82" t="s">
        <v>89</v>
      </c>
      <c r="C5" s="73">
        <v>0.23</v>
      </c>
      <c r="D5" s="74" t="s">
        <v>198</v>
      </c>
      <c r="E5" s="83" t="s">
        <v>141</v>
      </c>
      <c r="F5" s="6"/>
      <c r="G5" t="s">
        <v>135</v>
      </c>
      <c r="H5" t="b">
        <v>0</v>
      </c>
      <c r="I5" t="s">
        <v>135</v>
      </c>
      <c r="K5" s="12">
        <v>3.6799999999999997</v>
      </c>
      <c r="L5" s="12">
        <v>8.3949999999999996</v>
      </c>
      <c r="M5" s="12">
        <v>1.9550000000000001</v>
      </c>
      <c r="N5" s="90">
        <v>5.7499999999999996E-2</v>
      </c>
      <c r="O5" s="90">
        <v>2.2999999999999998</v>
      </c>
      <c r="P5" s="90">
        <v>4.5999999999999996</v>
      </c>
      <c r="Q5" s="12">
        <v>0.34500000000000003</v>
      </c>
      <c r="R5" s="12">
        <v>0.34500000000000003</v>
      </c>
      <c r="S5" s="12">
        <v>0.23000000000000004</v>
      </c>
      <c r="T5" s="90">
        <v>0.23000000000000004</v>
      </c>
      <c r="U5" s="90">
        <v>0.92000000000000015</v>
      </c>
      <c r="V5" s="90">
        <v>1.9550000000000001</v>
      </c>
    </row>
    <row r="6" spans="1:22" ht="15" customHeight="1">
      <c r="A6" s="81" t="s">
        <v>92</v>
      </c>
      <c r="B6" s="82" t="s">
        <v>89</v>
      </c>
      <c r="C6" s="73">
        <v>7.4999999999999997E-2</v>
      </c>
      <c r="D6" s="74" t="s">
        <v>197</v>
      </c>
      <c r="E6" s="83" t="s">
        <v>142</v>
      </c>
      <c r="F6" s="6"/>
      <c r="G6" t="s">
        <v>135</v>
      </c>
      <c r="H6" t="s">
        <v>135</v>
      </c>
      <c r="I6" t="s">
        <v>135</v>
      </c>
      <c r="K6" s="12">
        <v>23.875</v>
      </c>
      <c r="L6" s="12">
        <v>27.625</v>
      </c>
      <c r="M6" s="12">
        <v>28.006249999999998</v>
      </c>
      <c r="N6" s="90">
        <v>0.70624999999999993</v>
      </c>
      <c r="O6" s="90">
        <v>3.0543749999999998</v>
      </c>
      <c r="P6" s="90">
        <v>3.4375</v>
      </c>
      <c r="Q6" s="12">
        <v>2</v>
      </c>
      <c r="R6" s="12">
        <v>4</v>
      </c>
      <c r="S6" s="12">
        <v>0</v>
      </c>
      <c r="T6" s="90">
        <v>4.5</v>
      </c>
      <c r="U6" s="90">
        <v>28.5</v>
      </c>
      <c r="V6" s="90">
        <v>20.0625</v>
      </c>
    </row>
    <row r="7" spans="1:22" ht="15" customHeight="1">
      <c r="A7" s="81" t="s">
        <v>93</v>
      </c>
      <c r="B7" s="72" t="s">
        <v>147</v>
      </c>
      <c r="C7" s="73">
        <v>2.3E-2</v>
      </c>
      <c r="D7" s="74" t="s">
        <v>195</v>
      </c>
      <c r="E7" s="84" t="s">
        <v>143</v>
      </c>
      <c r="F7" s="6"/>
      <c r="G7" t="s">
        <v>135</v>
      </c>
      <c r="H7" t="s">
        <v>135</v>
      </c>
      <c r="I7" t="s">
        <v>135</v>
      </c>
      <c r="K7" s="12">
        <v>8.625</v>
      </c>
      <c r="L7" s="12">
        <v>4.5999999999999996</v>
      </c>
      <c r="M7" s="12">
        <v>4.83</v>
      </c>
      <c r="N7" s="90">
        <v>0.20125000000000001</v>
      </c>
      <c r="O7" s="90">
        <v>5.1749999999999998</v>
      </c>
      <c r="P7" s="90">
        <v>5.1749999999999998</v>
      </c>
      <c r="Q7" s="12">
        <v>5.1749999999999998</v>
      </c>
      <c r="R7" s="12">
        <v>3.7950000000000004</v>
      </c>
      <c r="S7" s="12">
        <v>5.52</v>
      </c>
      <c r="T7" s="90">
        <v>10.35</v>
      </c>
      <c r="U7" s="90">
        <v>1.7250000000000001</v>
      </c>
      <c r="V7" s="90">
        <v>1.7250000000000001</v>
      </c>
    </row>
    <row r="8" spans="1:22" ht="15" customHeight="1">
      <c r="A8" s="81" t="s">
        <v>136</v>
      </c>
      <c r="B8" s="82" t="s">
        <v>89</v>
      </c>
      <c r="C8" s="73">
        <v>0.19</v>
      </c>
      <c r="D8" s="74" t="s">
        <v>196</v>
      </c>
      <c r="E8" s="84" t="s">
        <v>94</v>
      </c>
      <c r="F8" s="6"/>
      <c r="G8" t="s">
        <v>135</v>
      </c>
      <c r="H8" t="s">
        <v>135</v>
      </c>
      <c r="I8" t="s">
        <v>135</v>
      </c>
      <c r="K8" s="12">
        <v>39.331583333333334</v>
      </c>
      <c r="L8" s="12">
        <v>49.58841666666666</v>
      </c>
      <c r="M8" s="12">
        <v>51.301583333333326</v>
      </c>
      <c r="N8" s="90">
        <v>3.496</v>
      </c>
      <c r="O8" s="90">
        <v>60.419999999999995</v>
      </c>
      <c r="P8" s="90">
        <v>36.408750000000005</v>
      </c>
      <c r="Q8" s="12">
        <v>37.68333333333333</v>
      </c>
      <c r="R8" s="12">
        <v>41.546666666666674</v>
      </c>
      <c r="S8" s="12">
        <v>1.0766666666666664</v>
      </c>
      <c r="T8" s="90">
        <v>62.228166666666674</v>
      </c>
      <c r="U8" s="90">
        <v>5.4625E-2</v>
      </c>
      <c r="V8" s="90">
        <v>55.399249999999995</v>
      </c>
    </row>
    <row r="9" spans="1:22" ht="15" customHeight="1">
      <c r="A9" s="81" t="s">
        <v>95</v>
      </c>
      <c r="B9" s="72" t="s">
        <v>147</v>
      </c>
      <c r="C9" s="73">
        <v>4.4999999999999997E-3</v>
      </c>
      <c r="D9" s="85" t="s">
        <v>96</v>
      </c>
      <c r="E9" s="84" t="s">
        <v>97</v>
      </c>
      <c r="F9" s="6"/>
      <c r="G9" t="s">
        <v>135</v>
      </c>
      <c r="H9" t="s">
        <v>135</v>
      </c>
      <c r="I9" t="s">
        <v>135</v>
      </c>
      <c r="K9" s="12">
        <v>1.9125000000000001</v>
      </c>
      <c r="L9" s="12">
        <v>0.33750000000000002</v>
      </c>
      <c r="M9" s="12">
        <v>1.0125</v>
      </c>
      <c r="N9" s="90">
        <v>3.3750000000000002E-2</v>
      </c>
      <c r="O9" s="90">
        <v>0.74249999999999994</v>
      </c>
      <c r="P9" s="90">
        <v>0.83249999999999991</v>
      </c>
      <c r="Q9" s="12">
        <v>0.26999999999999996</v>
      </c>
      <c r="R9" s="12">
        <v>0.80999999999999994</v>
      </c>
      <c r="S9" s="12">
        <v>0.315</v>
      </c>
      <c r="T9" s="90">
        <v>0.74249999999999994</v>
      </c>
      <c r="U9" s="90">
        <v>0.5625</v>
      </c>
      <c r="V9" s="90">
        <v>1.0125</v>
      </c>
    </row>
    <row r="10" spans="1:22" ht="15" customHeight="1">
      <c r="A10" s="81" t="s">
        <v>98</v>
      </c>
      <c r="B10" s="82" t="s">
        <v>99</v>
      </c>
      <c r="C10" s="73">
        <v>1.67E-2</v>
      </c>
      <c r="D10" s="85" t="s">
        <v>98</v>
      </c>
      <c r="E10" s="84" t="s">
        <v>100</v>
      </c>
      <c r="F10" s="6"/>
      <c r="G10" t="s">
        <v>135</v>
      </c>
      <c r="H10" t="s">
        <v>135</v>
      </c>
      <c r="I10" t="s">
        <v>135</v>
      </c>
      <c r="K10" s="12">
        <v>6.6799999999999998E-2</v>
      </c>
      <c r="L10" s="12">
        <v>8.3499999999999991E-2</v>
      </c>
      <c r="M10" s="12">
        <v>0.1002</v>
      </c>
      <c r="N10" s="90">
        <v>2.0874999999999999E-3</v>
      </c>
      <c r="O10" s="90">
        <v>9.1850000000000001E-2</v>
      </c>
      <c r="P10" s="90">
        <v>5.8450000000000002E-2</v>
      </c>
      <c r="Q10" s="12">
        <v>7.5149999999999995E-2</v>
      </c>
      <c r="R10" s="12">
        <v>5.8450000000000002E-2</v>
      </c>
      <c r="S10" s="12">
        <v>0.15865000000000001</v>
      </c>
      <c r="T10" s="90">
        <v>5.8450000000000002E-2</v>
      </c>
      <c r="U10" s="90">
        <v>7.5149999999999995E-2</v>
      </c>
      <c r="V10" s="90">
        <v>3.3399999999999999E-2</v>
      </c>
    </row>
    <row r="11" spans="1:22" ht="15" customHeight="1">
      <c r="A11" s="81" t="s">
        <v>101</v>
      </c>
      <c r="B11" s="82" t="s">
        <v>102</v>
      </c>
      <c r="C11" s="73">
        <v>0.114</v>
      </c>
      <c r="D11" s="74" t="s">
        <v>103</v>
      </c>
      <c r="E11" s="83" t="s">
        <v>104</v>
      </c>
      <c r="F11" s="6"/>
      <c r="G11" t="s">
        <v>135</v>
      </c>
      <c r="H11" t="s">
        <v>135</v>
      </c>
      <c r="I11" t="s">
        <v>135</v>
      </c>
      <c r="K11" s="12">
        <v>0.17099999999999999</v>
      </c>
      <c r="L11" s="12">
        <v>1.026</v>
      </c>
      <c r="M11" s="12">
        <v>0.57000000000000006</v>
      </c>
      <c r="N11" s="90">
        <v>1.311E-2</v>
      </c>
      <c r="O11" s="90">
        <v>1.083</v>
      </c>
      <c r="P11" s="90">
        <v>0.11400000000000002</v>
      </c>
      <c r="Q11" s="12">
        <v>0.39900000000000002</v>
      </c>
      <c r="R11" s="12">
        <v>0.85500000000000009</v>
      </c>
      <c r="S11" s="12">
        <v>0.627</v>
      </c>
      <c r="T11" s="90">
        <v>0.39900000000000002</v>
      </c>
      <c r="U11" s="90">
        <v>0.22800000000000004</v>
      </c>
      <c r="V11" s="90">
        <v>0.57000000000000006</v>
      </c>
    </row>
    <row r="12" spans="1:22" ht="15" customHeight="1">
      <c r="A12" s="81"/>
      <c r="B12" s="82" t="s">
        <v>102</v>
      </c>
      <c r="C12" s="73">
        <v>6.6000000000000003E-2</v>
      </c>
      <c r="D12" s="85" t="s">
        <v>134</v>
      </c>
      <c r="E12" s="83" t="s">
        <v>105</v>
      </c>
      <c r="F12" s="6"/>
      <c r="G12" t="s">
        <v>135</v>
      </c>
      <c r="H12" t="s">
        <v>135</v>
      </c>
      <c r="I12" t="s">
        <v>135</v>
      </c>
      <c r="K12" s="12">
        <v>4.9500000000000002E-2</v>
      </c>
      <c r="L12" s="12">
        <v>6.6000000000000003E-2</v>
      </c>
      <c r="M12" s="12">
        <v>3.3000000000000002E-2</v>
      </c>
      <c r="N12" s="90">
        <v>2.4750000000000001E-2</v>
      </c>
      <c r="O12" s="90">
        <v>0.16500000000000001</v>
      </c>
      <c r="P12" s="90">
        <v>9.9000000000000005E-2</v>
      </c>
      <c r="Q12" s="12">
        <v>3.3000000000000002E-2</v>
      </c>
      <c r="R12" s="12">
        <v>9.9000000000000005E-2</v>
      </c>
      <c r="S12" s="12">
        <v>9.9000000000000005E-2</v>
      </c>
      <c r="T12" s="90">
        <v>0.25740000000000002</v>
      </c>
      <c r="U12" s="90">
        <v>0.13200000000000001</v>
      </c>
      <c r="V12" s="90">
        <v>0.13200000000000001</v>
      </c>
    </row>
    <row r="13" spans="1:22" ht="15" customHeight="1">
      <c r="A13" s="81"/>
      <c r="B13" s="82" t="s">
        <v>102</v>
      </c>
      <c r="C13" s="73">
        <v>0.13900000000000001</v>
      </c>
      <c r="D13" s="85" t="s">
        <v>106</v>
      </c>
      <c r="E13" s="83" t="s">
        <v>107</v>
      </c>
      <c r="F13" s="6"/>
      <c r="G13" t="s">
        <v>135</v>
      </c>
      <c r="H13" t="s">
        <v>135</v>
      </c>
      <c r="I13" t="s">
        <v>135</v>
      </c>
      <c r="K13" s="12">
        <v>6.9500000000000004E-3</v>
      </c>
      <c r="L13" s="12">
        <v>1.3900000000000001E-2</v>
      </c>
      <c r="M13" s="12">
        <v>0</v>
      </c>
      <c r="N13" s="90">
        <v>3.4750000000000004E-4</v>
      </c>
      <c r="O13" s="90">
        <v>6.9500000000000004E-3</v>
      </c>
      <c r="P13" s="90">
        <v>8.3400000000000002E-2</v>
      </c>
      <c r="Q13" s="12">
        <v>0.11120000000000001</v>
      </c>
      <c r="R13" s="12">
        <v>1.3900000000000001E-2</v>
      </c>
      <c r="S13" s="12">
        <v>0</v>
      </c>
      <c r="T13" s="90">
        <v>6.9500000000000004E-3</v>
      </c>
      <c r="U13" s="90">
        <v>0</v>
      </c>
      <c r="V13" s="90">
        <v>0</v>
      </c>
    </row>
    <row r="14" spans="1:22" ht="15" customHeight="1">
      <c r="A14" s="81" t="s">
        <v>108</v>
      </c>
      <c r="B14" s="82" t="s">
        <v>102</v>
      </c>
      <c r="C14" s="73">
        <v>1.58</v>
      </c>
      <c r="D14" s="86" t="s">
        <v>109</v>
      </c>
      <c r="E14" s="83" t="s">
        <v>110</v>
      </c>
      <c r="F14" s="6"/>
      <c r="G14" t="s">
        <v>135</v>
      </c>
      <c r="H14" t="s">
        <v>135</v>
      </c>
      <c r="I14" t="s">
        <v>135</v>
      </c>
      <c r="K14" s="12">
        <v>0.47400000000000003</v>
      </c>
      <c r="L14" s="12">
        <v>0.71100000000000008</v>
      </c>
      <c r="M14" s="12">
        <v>0.55300000000000005</v>
      </c>
      <c r="N14" s="90">
        <v>3.95E-2</v>
      </c>
      <c r="O14" s="90">
        <v>2.923</v>
      </c>
      <c r="P14" s="90">
        <v>0.55300000000000005</v>
      </c>
      <c r="Q14" s="12">
        <v>0.316</v>
      </c>
      <c r="R14" s="12">
        <v>0.47400000000000003</v>
      </c>
      <c r="S14" s="12">
        <v>0.39500000000000002</v>
      </c>
      <c r="T14" s="90">
        <v>0.79</v>
      </c>
      <c r="U14" s="90">
        <v>0.71100000000000008</v>
      </c>
      <c r="V14" s="90">
        <v>0.63200000000000001</v>
      </c>
    </row>
    <row r="15" spans="1:22" ht="15" customHeight="1">
      <c r="A15" s="81"/>
      <c r="B15" s="82" t="s">
        <v>102</v>
      </c>
      <c r="C15" s="73">
        <v>2.8</v>
      </c>
      <c r="D15" s="74" t="s">
        <v>112</v>
      </c>
      <c r="E15" s="83" t="s">
        <v>111</v>
      </c>
      <c r="F15" s="6"/>
      <c r="G15" t="s">
        <v>135</v>
      </c>
      <c r="H15" t="s">
        <v>135</v>
      </c>
      <c r="I15" t="s">
        <v>135</v>
      </c>
      <c r="K15" s="12">
        <v>0.13999999999999999</v>
      </c>
      <c r="L15" s="12">
        <v>0.13999999999999999</v>
      </c>
      <c r="M15" s="12">
        <v>0.13999999999999999</v>
      </c>
      <c r="N15" s="90">
        <v>1.7499999999999998E-2</v>
      </c>
      <c r="O15" s="90">
        <v>0</v>
      </c>
      <c r="P15" s="90">
        <v>0</v>
      </c>
      <c r="Q15" s="12">
        <v>0.13999999999999999</v>
      </c>
      <c r="R15" s="12">
        <v>0</v>
      </c>
      <c r="S15" s="12">
        <v>0.13999999999999999</v>
      </c>
      <c r="T15" s="90">
        <v>0</v>
      </c>
      <c r="U15" s="90">
        <v>0</v>
      </c>
      <c r="V15" s="90">
        <v>0</v>
      </c>
    </row>
    <row r="16" spans="1:22" ht="15" customHeight="1">
      <c r="A16" s="81"/>
      <c r="B16" s="72" t="s">
        <v>147</v>
      </c>
      <c r="C16" s="73">
        <v>3.8000000000000002E-4</v>
      </c>
      <c r="D16" s="85" t="s">
        <v>113</v>
      </c>
      <c r="E16" s="83" t="s">
        <v>114</v>
      </c>
      <c r="F16" s="6"/>
      <c r="G16" t="s">
        <v>135</v>
      </c>
      <c r="H16" t="b">
        <v>0</v>
      </c>
      <c r="I16" t="s">
        <v>135</v>
      </c>
      <c r="K16" s="12">
        <v>1.9E-3</v>
      </c>
      <c r="L16" s="12">
        <v>1.9E-2</v>
      </c>
      <c r="M16" s="12">
        <v>1.9E-3</v>
      </c>
      <c r="N16" s="90">
        <v>9.5000000000000005E-5</v>
      </c>
      <c r="O16" s="90">
        <v>1.9E-3</v>
      </c>
      <c r="P16" s="90">
        <v>6.0762000000000004E-2</v>
      </c>
      <c r="Q16" s="12">
        <v>0.13300000000000001</v>
      </c>
      <c r="R16" s="12">
        <v>9.4999999999999998E-3</v>
      </c>
      <c r="S16" s="12">
        <v>1.3300000000000001E-2</v>
      </c>
      <c r="T16" s="90">
        <v>3.4200000000000001E-2</v>
      </c>
      <c r="U16" s="90">
        <v>0</v>
      </c>
      <c r="V16" s="90">
        <v>3.8E-3</v>
      </c>
    </row>
    <row r="17" spans="1:22" ht="15" customHeight="1">
      <c r="A17" s="81"/>
      <c r="B17" s="72" t="s">
        <v>147</v>
      </c>
      <c r="C17" s="73">
        <v>1.4999999999999999E-4</v>
      </c>
      <c r="D17" s="74" t="s">
        <v>115</v>
      </c>
      <c r="E17" s="83" t="s">
        <v>116</v>
      </c>
      <c r="F17" s="6"/>
      <c r="G17" t="s">
        <v>135</v>
      </c>
      <c r="H17" t="s">
        <v>135</v>
      </c>
      <c r="I17" t="s">
        <v>135</v>
      </c>
      <c r="K17" s="12">
        <v>4.4999999999999998E-2</v>
      </c>
      <c r="L17" s="12">
        <v>3.7499999999999999E-2</v>
      </c>
      <c r="M17" s="12">
        <v>1.4999999999999999E-2</v>
      </c>
      <c r="N17" s="90">
        <v>1.1249999999999999E-3</v>
      </c>
      <c r="O17" s="90">
        <v>5.2499999999999991E-2</v>
      </c>
      <c r="P17" s="90">
        <v>4.4999999999999998E-2</v>
      </c>
      <c r="Q17" s="12">
        <v>0.06</v>
      </c>
      <c r="R17" s="12">
        <v>2.6249999999999996E-2</v>
      </c>
      <c r="S17" s="12">
        <v>1.8749999999999996E-2</v>
      </c>
      <c r="T17" s="90">
        <v>0.13494</v>
      </c>
      <c r="U17" s="90">
        <v>1.4999999999999999E-5</v>
      </c>
      <c r="V17" s="90">
        <v>1.4999999999999999E-5</v>
      </c>
    </row>
    <row r="18" spans="1:22" ht="15" customHeight="1">
      <c r="A18" s="81"/>
      <c r="B18" s="82" t="s">
        <v>99</v>
      </c>
      <c r="C18" s="73">
        <v>10</v>
      </c>
      <c r="D18" s="74" t="s">
        <v>133</v>
      </c>
      <c r="E18" s="83" t="s">
        <v>117</v>
      </c>
      <c r="F18" s="6"/>
      <c r="G18" t="s">
        <v>135</v>
      </c>
      <c r="H18" t="b">
        <v>0</v>
      </c>
      <c r="I18" t="s">
        <v>135</v>
      </c>
      <c r="K18" s="12">
        <v>5</v>
      </c>
      <c r="L18" s="12">
        <v>7</v>
      </c>
      <c r="M18" s="12">
        <v>0</v>
      </c>
      <c r="N18" s="90">
        <v>0.27500000000000002</v>
      </c>
      <c r="O18" s="90">
        <v>2.5</v>
      </c>
      <c r="P18" s="90">
        <v>0</v>
      </c>
      <c r="Q18" s="12">
        <v>5</v>
      </c>
      <c r="R18" s="12">
        <v>0</v>
      </c>
      <c r="S18" s="12">
        <v>2.5</v>
      </c>
      <c r="T18" s="90">
        <v>6.5</v>
      </c>
      <c r="U18" s="90">
        <v>2</v>
      </c>
      <c r="V18" s="90">
        <v>2</v>
      </c>
    </row>
    <row r="19" spans="1:22" ht="15" customHeight="1">
      <c r="A19" s="81"/>
      <c r="B19" s="82" t="s">
        <v>102</v>
      </c>
      <c r="C19" s="73">
        <v>5.0000000000000001E-3</v>
      </c>
      <c r="D19" s="74" t="s">
        <v>118</v>
      </c>
      <c r="E19" s="84" t="s">
        <v>119</v>
      </c>
      <c r="F19" s="6"/>
      <c r="G19" t="s">
        <v>135</v>
      </c>
      <c r="H19" t="s">
        <v>135</v>
      </c>
      <c r="I19" t="s">
        <v>135</v>
      </c>
      <c r="K19" s="12">
        <v>12.5</v>
      </c>
      <c r="L19" s="12">
        <v>9.75</v>
      </c>
      <c r="M19" s="12">
        <v>10</v>
      </c>
      <c r="N19" s="90">
        <v>0.17499999999999999</v>
      </c>
      <c r="O19" s="90">
        <v>8</v>
      </c>
      <c r="P19" s="90">
        <v>5.85</v>
      </c>
      <c r="Q19" s="12">
        <v>1</v>
      </c>
      <c r="R19" s="12">
        <v>1</v>
      </c>
      <c r="S19" s="12">
        <v>5.5</v>
      </c>
      <c r="T19" s="90">
        <v>11</v>
      </c>
      <c r="U19" s="90">
        <v>8.5</v>
      </c>
      <c r="V19" s="90">
        <v>3.25</v>
      </c>
    </row>
    <row r="20" spans="1:22" ht="15" customHeight="1">
      <c r="A20" s="81" t="s">
        <v>120</v>
      </c>
      <c r="B20" s="82" t="s">
        <v>121</v>
      </c>
      <c r="C20" s="73">
        <v>10</v>
      </c>
      <c r="D20" s="74" t="s">
        <v>122</v>
      </c>
      <c r="E20" s="83" t="s">
        <v>123</v>
      </c>
      <c r="F20" s="6"/>
      <c r="G20" t="s">
        <v>135</v>
      </c>
      <c r="H20" t="s">
        <v>135</v>
      </c>
      <c r="I20" t="s">
        <v>135</v>
      </c>
      <c r="K20" s="12">
        <v>2</v>
      </c>
      <c r="L20" s="12">
        <v>6</v>
      </c>
      <c r="M20" s="12">
        <v>5</v>
      </c>
      <c r="N20" s="90">
        <v>0.35</v>
      </c>
      <c r="O20" s="90">
        <v>2</v>
      </c>
      <c r="P20" s="90">
        <v>4</v>
      </c>
      <c r="Q20" s="12">
        <v>0</v>
      </c>
      <c r="R20" s="12">
        <v>6</v>
      </c>
      <c r="S20" s="12">
        <v>3</v>
      </c>
      <c r="T20" s="90">
        <v>3</v>
      </c>
      <c r="U20" s="90">
        <v>13</v>
      </c>
      <c r="V20" s="90">
        <v>6</v>
      </c>
    </row>
    <row r="21" spans="1:22" ht="15" customHeight="1">
      <c r="A21" s="87" t="s">
        <v>146</v>
      </c>
      <c r="B21" s="82" t="s">
        <v>124</v>
      </c>
      <c r="C21" s="73">
        <v>0.124</v>
      </c>
      <c r="D21" s="85" t="s">
        <v>139</v>
      </c>
      <c r="E21" s="83" t="s">
        <v>144</v>
      </c>
      <c r="F21" s="6"/>
      <c r="G21" t="s">
        <v>135</v>
      </c>
      <c r="H21" t="s">
        <v>135</v>
      </c>
      <c r="I21" t="s">
        <v>135</v>
      </c>
      <c r="K21" s="12">
        <v>3.72</v>
      </c>
      <c r="L21" s="12">
        <v>11.78</v>
      </c>
      <c r="M21" s="12">
        <v>6.2</v>
      </c>
      <c r="N21" s="90">
        <v>0.34100000000000003</v>
      </c>
      <c r="O21" s="90">
        <v>1.86</v>
      </c>
      <c r="P21" s="90">
        <v>14.26</v>
      </c>
      <c r="Q21" s="12">
        <v>29.76</v>
      </c>
      <c r="R21" s="12">
        <v>3.1</v>
      </c>
      <c r="S21" s="12">
        <v>3.1</v>
      </c>
      <c r="T21" s="90">
        <v>7.44</v>
      </c>
      <c r="U21" s="90">
        <v>14.88</v>
      </c>
      <c r="V21" s="90">
        <v>1.24</v>
      </c>
    </row>
    <row r="22" spans="1:22" ht="15" customHeight="1">
      <c r="A22" s="75" t="s">
        <v>138</v>
      </c>
      <c r="B22" s="82" t="s">
        <v>89</v>
      </c>
      <c r="C22" s="73">
        <v>9.1999999999999998E-2</v>
      </c>
      <c r="D22" s="74" t="s">
        <v>200</v>
      </c>
      <c r="E22" s="75" t="s">
        <v>145</v>
      </c>
      <c r="F22" s="6"/>
      <c r="G22" t="s">
        <v>135</v>
      </c>
      <c r="H22" t="s">
        <v>135</v>
      </c>
      <c r="I22" t="s">
        <v>135</v>
      </c>
      <c r="K22" s="12">
        <v>0</v>
      </c>
      <c r="L22" s="12">
        <v>0.91999999999999993</v>
      </c>
      <c r="M22" s="12">
        <v>1.3800000000000001</v>
      </c>
      <c r="N22" s="90">
        <v>2.3E-2</v>
      </c>
      <c r="O22" s="90">
        <v>0</v>
      </c>
      <c r="P22" s="90">
        <v>0</v>
      </c>
      <c r="Q22" s="12">
        <v>0</v>
      </c>
      <c r="R22" s="12">
        <v>0</v>
      </c>
      <c r="S22" s="12">
        <v>0</v>
      </c>
      <c r="T22" s="90">
        <v>0</v>
      </c>
      <c r="U22" s="90">
        <v>0</v>
      </c>
      <c r="V22" s="90">
        <v>0</v>
      </c>
    </row>
    <row r="23" spans="1:22">
      <c r="A23" s="75" t="s">
        <v>298</v>
      </c>
      <c r="B23" s="82" t="s">
        <v>213</v>
      </c>
      <c r="C23" s="73">
        <v>0.15</v>
      </c>
      <c r="D23" s="74" t="s">
        <v>299</v>
      </c>
      <c r="E23" s="75" t="s">
        <v>300</v>
      </c>
      <c r="F23" s="6"/>
      <c r="G23" t="s">
        <v>135</v>
      </c>
      <c r="H23" t="s">
        <v>135</v>
      </c>
      <c r="I23" t="s">
        <v>135</v>
      </c>
      <c r="K23" s="12">
        <v>0.45</v>
      </c>
      <c r="L23" s="12">
        <v>0.75</v>
      </c>
      <c r="M23" s="12">
        <v>0.45</v>
      </c>
      <c r="N23" s="90">
        <v>0.15</v>
      </c>
      <c r="O23" s="90">
        <v>0.3</v>
      </c>
      <c r="P23" s="90">
        <v>0.3</v>
      </c>
      <c r="Q23" s="12">
        <v>0.45</v>
      </c>
      <c r="R23" s="12">
        <v>0.15</v>
      </c>
      <c r="S23" s="12">
        <v>0</v>
      </c>
      <c r="T23" s="90">
        <v>0.45</v>
      </c>
      <c r="U23" s="90">
        <v>0.15</v>
      </c>
      <c r="V23" s="90">
        <v>0.15</v>
      </c>
    </row>
    <row r="24" spans="1:22">
      <c r="J24" s="15"/>
      <c r="K24" s="9"/>
      <c r="L24" s="9"/>
      <c r="M24" s="9"/>
      <c r="N24" s="9"/>
      <c r="O24" s="9"/>
      <c r="P24" s="9"/>
      <c r="Q24" s="9"/>
      <c r="R24" s="9"/>
      <c r="S24" s="9"/>
      <c r="T24" s="9"/>
    </row>
    <row r="25" spans="1:22">
      <c r="A25" s="222"/>
      <c r="B25" s="223" t="s">
        <v>280</v>
      </c>
      <c r="C25" s="224"/>
      <c r="D25" s="225"/>
      <c r="E25" s="226"/>
      <c r="F25" s="227"/>
      <c r="G25" s="222"/>
      <c r="H25" s="222"/>
      <c r="I25" s="224"/>
      <c r="J25" s="226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2"/>
      <c r="V25" s="222"/>
    </row>
    <row r="26" spans="1:22">
      <c r="G26" t="s">
        <v>306</v>
      </c>
      <c r="J26" s="2"/>
      <c r="K26" s="10"/>
      <c r="L26" s="10"/>
      <c r="M26" s="10"/>
      <c r="N26" s="10"/>
      <c r="O26" s="10"/>
      <c r="P26" s="10"/>
      <c r="Q26" s="10"/>
      <c r="R26" s="10"/>
      <c r="S26" s="10"/>
      <c r="T26" s="10"/>
    </row>
    <row r="27" spans="1:22">
      <c r="J27" s="15" t="s">
        <v>8</v>
      </c>
      <c r="N27" s="56"/>
      <c r="O27" s="56"/>
      <c r="P27" s="56"/>
      <c r="T27" s="56"/>
      <c r="U27" s="56"/>
      <c r="V27" s="56"/>
    </row>
    <row r="28" spans="1:22">
      <c r="J28" s="57" t="s">
        <v>43</v>
      </c>
      <c r="K28" s="58"/>
      <c r="L28" s="58"/>
      <c r="M28" s="58"/>
      <c r="N28" s="59"/>
      <c r="O28" s="59"/>
      <c r="P28" s="59"/>
      <c r="Q28" s="58"/>
      <c r="R28" s="58"/>
      <c r="S28" s="58"/>
      <c r="T28" s="59"/>
      <c r="U28" s="59"/>
      <c r="V28" s="59"/>
    </row>
    <row r="29" spans="1:22">
      <c r="J29" s="4" t="s">
        <v>89</v>
      </c>
      <c r="K29" s="61">
        <f>SUMIF($B:$B,"VlnitaLepenka",$K:$K)</f>
        <v>73.071583333333336</v>
      </c>
      <c r="L29" s="61">
        <f>SUMIF($B:$B,"VlnitaLepenka",$L:$L)</f>
        <v>99.108416666666656</v>
      </c>
      <c r="M29" s="61">
        <f>SUMIF($B:$B,"VlnitaLepenka",$M:$M)</f>
        <v>93.067833333333326</v>
      </c>
      <c r="N29" s="60">
        <f>SUMIF($B:$B,"VlnitaLepenka",$N:$N)</f>
        <v>4.85975</v>
      </c>
      <c r="O29" s="60">
        <f>SUMIF($B:$B,"VlnitaLepenka",$O:$O)</f>
        <v>68.564374999999998</v>
      </c>
      <c r="P29" s="60">
        <f>SUMIF($B:$B,"VlnitaLepenka",$P:$P)</f>
        <v>63.666249999999998</v>
      </c>
      <c r="Q29" s="61">
        <f>SUMIF($B:$B,"VlnitaLepenka",$Q:$Q)</f>
        <v>74.828333333333333</v>
      </c>
      <c r="R29" s="61">
        <f>SUMIF($B:$B,"VlnitaLepenka",$R:$R)</f>
        <v>52.581666666666678</v>
      </c>
      <c r="S29" s="61">
        <f>SUMIF($B:$B,"VlnitaLepenka",$S:$S)</f>
        <v>9.2866666666666671</v>
      </c>
      <c r="T29" s="60">
        <f>SUMIF($B:$B,"VlnitaLepenka",$T:$T)</f>
        <v>74.44316666666667</v>
      </c>
      <c r="U29" s="60">
        <f>SUMIF($B:$B,"VlnitaLepenka",$U:$U)</f>
        <v>49.439625000000007</v>
      </c>
      <c r="V29" s="60">
        <f>SUMIF($B:$B,"VlnitaLepenka",$V:$V)</f>
        <v>83.726749999999996</v>
      </c>
    </row>
    <row r="30" spans="1:22">
      <c r="J30" s="4" t="s">
        <v>147</v>
      </c>
      <c r="K30" s="61">
        <f>SUMIF($B:$B,"Jine",$K:$K)</f>
        <v>10.584399999999999</v>
      </c>
      <c r="L30" s="61">
        <f>SUMIF($B:$B,"Jine",$L:$L)</f>
        <v>4.9939999999999998</v>
      </c>
      <c r="M30" s="61">
        <f>SUMIF($B:$B,"Jine",$M:$M)</f>
        <v>5.8593999999999999</v>
      </c>
      <c r="N30" s="60">
        <f>SUMIF($B:$B,"Jine",$N:$N)</f>
        <v>0.23622000000000001</v>
      </c>
      <c r="O30" s="60">
        <f>SUMIF($B:$B,"Jine",$O:$O)</f>
        <v>5.9718999999999998</v>
      </c>
      <c r="P30" s="60">
        <f>SUMIF($B:$B,"Jine",$P:$P)</f>
        <v>6.1132619999999998</v>
      </c>
      <c r="Q30" s="61">
        <f>SUMIF($B:$B,"Jine",$Q:$Q)</f>
        <v>5.637999999999999</v>
      </c>
      <c r="R30" s="61">
        <f>SUMIF($B:$B,"Jine",$R:$R)</f>
        <v>4.6407500000000006</v>
      </c>
      <c r="S30" s="61">
        <f>SUMIF($B:$B,"Jine",$S:$S)</f>
        <v>5.8670499999999999</v>
      </c>
      <c r="T30" s="60">
        <f>SUMIF($B:$B,"Jine",$T:$T)</f>
        <v>11.26164</v>
      </c>
      <c r="U30" s="60">
        <f>SUMIF($B:$B,"Jine",$U:$U)</f>
        <v>2.287515</v>
      </c>
      <c r="V30" s="60">
        <f>SUMIF($B:$B,"Jine",$V:$V)</f>
        <v>2.7413149999999997</v>
      </c>
    </row>
    <row r="31" spans="1:22">
      <c r="J31" s="4" t="s">
        <v>99</v>
      </c>
      <c r="K31" s="61">
        <f>SUMIF($B:$B,"Papir",$K:$K)</f>
        <v>5.0667999999999997</v>
      </c>
      <c r="L31" s="61">
        <f>SUMIF($B:$B,"Papir",$L:$L)</f>
        <v>7.0834999999999999</v>
      </c>
      <c r="M31" s="61">
        <f>SUMIF($B:$B,"Papir",$M:$M)</f>
        <v>0.1002</v>
      </c>
      <c r="N31" s="60">
        <f>SUMIF($B:$B,"Papir",$N:$N)</f>
        <v>0.27708750000000004</v>
      </c>
      <c r="O31" s="60">
        <f>SUMIF($B:$B,"Papir",$O:$O)</f>
        <v>2.59185</v>
      </c>
      <c r="P31" s="60">
        <f>SUMIF($B:$B,"Papir",$P:$P)</f>
        <v>5.8450000000000002E-2</v>
      </c>
      <c r="Q31" s="61">
        <f>SUMIF($B:$B,"Papir",$Q:$Q)</f>
        <v>5.0751499999999998</v>
      </c>
      <c r="R31" s="61">
        <f>SUMIF($B:$B,"Papir",$R:$R)</f>
        <v>5.8450000000000002E-2</v>
      </c>
      <c r="S31" s="61">
        <f>SUMIF($B:$B,"Papir",$S:$S)</f>
        <v>2.6586500000000002</v>
      </c>
      <c r="T31" s="60">
        <f>SUMIF($B:$B,"Papir",$T:$T)</f>
        <v>6.5584499999999997</v>
      </c>
      <c r="U31" s="62">
        <f>SUMIF($B:$B,"Papir",$U:$U)</f>
        <v>2.0751499999999998</v>
      </c>
      <c r="V31" s="60">
        <f>SUMIF($B:$B,"Papir",$V:$V)</f>
        <v>2.0333999999999999</v>
      </c>
    </row>
    <row r="32" spans="1:22">
      <c r="J32" s="4" t="s">
        <v>102</v>
      </c>
      <c r="K32" s="61">
        <f>SUMIF($B:$B,"PE",$K:$K)</f>
        <v>13.34145</v>
      </c>
      <c r="L32" s="61">
        <f>SUMIF($B:$B,"PE",$L:$L)</f>
        <v>11.706900000000001</v>
      </c>
      <c r="M32" s="61">
        <f>SUMIF($B:$B,"PE",$M:$M)</f>
        <v>11.295999999999999</v>
      </c>
      <c r="N32" s="60">
        <f>SUMIF($B:$B,"PE",$N:$N)</f>
        <v>0.27020749999999999</v>
      </c>
      <c r="O32" s="60">
        <f>SUMIF($B:$B,"PE",$O:$O)</f>
        <v>12.177949999999999</v>
      </c>
      <c r="P32" s="60">
        <f>SUMIF($B:$B,"PE",$P:$P)</f>
        <v>6.6993999999999998</v>
      </c>
      <c r="Q32" s="61">
        <f>SUMIF($B:$B,"PE",$Q:$Q)</f>
        <v>1.9992000000000001</v>
      </c>
      <c r="R32" s="61">
        <f>SUMIF($B:$B,"PE",$R:$R)</f>
        <v>2.4419000000000004</v>
      </c>
      <c r="S32" s="61">
        <f>SUMIF($B:$B,"PE",$S:$S)</f>
        <v>6.7610000000000001</v>
      </c>
      <c r="T32" s="60">
        <f>SUMIF($B:$B,"PE",$T:$T)</f>
        <v>12.45335</v>
      </c>
      <c r="U32" s="62">
        <f>SUMIF($B:$B,"PE",$U:$U)</f>
        <v>9.5709999999999997</v>
      </c>
      <c r="V32" s="60">
        <f>SUMIF($B:$B,"PE",$V:$V)</f>
        <v>4.5839999999999996</v>
      </c>
    </row>
    <row r="33" spans="10:22">
      <c r="J33" s="4" t="s">
        <v>121</v>
      </c>
      <c r="K33" s="61">
        <f>SUMIF($B:$B,"PP",$K:$K)</f>
        <v>2</v>
      </c>
      <c r="L33" s="61">
        <f>SUMIF($B:$B,"PP",$L:$L)</f>
        <v>6</v>
      </c>
      <c r="M33" s="61">
        <f>SUMIF($B:$B,"PP",$M:$M)</f>
        <v>5</v>
      </c>
      <c r="N33" s="60">
        <f>SUMIF($B:$B,"PP",$N:$N)</f>
        <v>0.35</v>
      </c>
      <c r="O33" s="60">
        <f>SUMIF($B:$B,"PP",$O:$O)</f>
        <v>2</v>
      </c>
      <c r="P33" s="60">
        <f>SUMIF($B:$B,"PP",$P:$P)</f>
        <v>4</v>
      </c>
      <c r="Q33" s="61">
        <f>SUMIF($B:$B,"PP",$Q:$Q)</f>
        <v>0</v>
      </c>
      <c r="R33" s="61">
        <f>SUMIF($B:$B,"PP",$R:$R)</f>
        <v>6</v>
      </c>
      <c r="S33" s="61">
        <f>SUMIF($B:$B,"PP",$S:$S)</f>
        <v>3</v>
      </c>
      <c r="T33" s="60">
        <f>SUMIF($B:$B,"PP",$T:$T)</f>
        <v>3</v>
      </c>
      <c r="U33" s="62">
        <f>SUMIF($B:$B,"PP",$U:$U)</f>
        <v>13</v>
      </c>
      <c r="V33" s="60">
        <f>SUMIF($B:$B,"PP",$V:$V)</f>
        <v>6</v>
      </c>
    </row>
    <row r="34" spans="10:22">
      <c r="J34" s="4" t="s">
        <v>125</v>
      </c>
      <c r="K34" s="61">
        <f>SUMIF($B:$B,"Drevo",$K:$K)</f>
        <v>0.45</v>
      </c>
      <c r="L34" s="61">
        <f>SUMIF($B:$B,"Drevo",$L:$L)</f>
        <v>0.75</v>
      </c>
      <c r="M34" s="61">
        <f>SUMIF($B:$B,"Drevo",$M:$M)</f>
        <v>0.45</v>
      </c>
      <c r="N34" s="60">
        <f>SUMIF($B:$B,"Drevo",$N:$N)</f>
        <v>0.15</v>
      </c>
      <c r="O34" s="60">
        <f>SUMIF($B:$B,"Drevo",$O:$O)</f>
        <v>0.3</v>
      </c>
      <c r="P34" s="60">
        <f>SUMIF($B:$B,"Drevo",$P:$P)</f>
        <v>0.3</v>
      </c>
      <c r="Q34" s="61">
        <f>SUMIF($B:$B,"Drevo",$Q:$Q)</f>
        <v>0.45</v>
      </c>
      <c r="R34" s="61">
        <f>SUMIF($B:$B,"Drevo",$R:$R)</f>
        <v>0.15</v>
      </c>
      <c r="S34" s="61">
        <f>SUMIF($B:$B,"Drevo",$S:$S)</f>
        <v>0</v>
      </c>
      <c r="T34" s="60">
        <f>SUMIF($B:$B,"Drevo",$T:$T)</f>
        <v>0.45</v>
      </c>
      <c r="U34" s="60">
        <f>SUMIF($B:$B,"Drevo",$U:$U)</f>
        <v>0.15</v>
      </c>
      <c r="V34" s="60">
        <f>SUMIF($B:$B,"Drevo",$V:$V)</f>
        <v>0.15</v>
      </c>
    </row>
    <row r="35" spans="10:22">
      <c r="J35" s="8" t="s">
        <v>126</v>
      </c>
      <c r="K35" s="64">
        <f t="shared" ref="K35:V35" si="0">SUM(K29:K34)</f>
        <v>104.51423333333334</v>
      </c>
      <c r="L35" s="64">
        <f t="shared" si="0"/>
        <v>129.64281666666665</v>
      </c>
      <c r="M35" s="64">
        <f t="shared" si="0"/>
        <v>115.77343333333333</v>
      </c>
      <c r="N35" s="63">
        <f t="shared" si="0"/>
        <v>6.1432650000000004</v>
      </c>
      <c r="O35" s="63">
        <f t="shared" si="0"/>
        <v>91.60607499999999</v>
      </c>
      <c r="P35" s="63">
        <f t="shared" si="0"/>
        <v>80.837361999999985</v>
      </c>
      <c r="Q35" s="64">
        <f t="shared" si="0"/>
        <v>87.990683333333337</v>
      </c>
      <c r="R35" s="64">
        <f t="shared" si="0"/>
        <v>65.872766666666678</v>
      </c>
      <c r="S35" s="64">
        <f t="shared" si="0"/>
        <v>27.573366666666669</v>
      </c>
      <c r="T35" s="63">
        <f t="shared" si="0"/>
        <v>108.16660666666667</v>
      </c>
      <c r="U35" s="63">
        <f t="shared" si="0"/>
        <v>76.523290000000003</v>
      </c>
      <c r="V35" s="63">
        <f t="shared" si="0"/>
        <v>99.235465000000005</v>
      </c>
    </row>
    <row r="36" spans="10:22" ht="15" thickBot="1">
      <c r="J36" s="8"/>
      <c r="N36" s="56"/>
      <c r="O36" s="56"/>
      <c r="P36" s="56"/>
      <c r="T36" s="56"/>
      <c r="U36" s="56"/>
      <c r="V36" s="56"/>
    </row>
    <row r="37" spans="10:22" ht="15" thickBot="1">
      <c r="J37" s="65" t="s">
        <v>303</v>
      </c>
      <c r="N37" s="56"/>
      <c r="O37" s="56"/>
      <c r="P37" s="56"/>
      <c r="T37" s="56"/>
      <c r="U37" s="56"/>
      <c r="V37" s="56"/>
    </row>
    <row r="38" spans="10:22" ht="15" thickBot="1">
      <c r="J38" s="66" t="s">
        <v>127</v>
      </c>
      <c r="K38" s="67" t="s">
        <v>128</v>
      </c>
      <c r="L38" s="68"/>
      <c r="M38" s="69"/>
      <c r="N38" s="67" t="s">
        <v>129</v>
      </c>
      <c r="O38" s="68"/>
      <c r="P38" s="69"/>
      <c r="Q38" s="67" t="s">
        <v>130</v>
      </c>
      <c r="R38" s="68"/>
      <c r="S38" s="69"/>
      <c r="T38" s="67" t="s">
        <v>131</v>
      </c>
      <c r="U38" s="68"/>
      <c r="V38" s="69"/>
    </row>
    <row r="39" spans="10:22">
      <c r="J39" s="200" t="s">
        <v>89</v>
      </c>
      <c r="K39" s="201">
        <f>SUM(K29:M29)/1000</f>
        <v>0.26524783333333335</v>
      </c>
      <c r="L39" s="202"/>
      <c r="M39" s="203"/>
      <c r="N39" s="201">
        <f>SUM(N29:P29)/1000</f>
        <v>0.13709037499999999</v>
      </c>
      <c r="O39" s="202"/>
      <c r="P39" s="203"/>
      <c r="Q39" s="201">
        <f>SUM(Q29:S29)/1000</f>
        <v>0.13669666666666669</v>
      </c>
      <c r="R39" s="202"/>
      <c r="S39" s="203"/>
      <c r="T39" s="201">
        <f>SUM(T29:V29)/1000</f>
        <v>0.20760954166666667</v>
      </c>
      <c r="U39" s="202"/>
      <c r="V39" s="203"/>
    </row>
    <row r="40" spans="10:22">
      <c r="J40" s="4" t="s">
        <v>147</v>
      </c>
      <c r="K40" s="204">
        <f t="shared" ref="K40:K44" si="1">SUM(K30:M30)/1000</f>
        <v>2.14378E-2</v>
      </c>
      <c r="L40" s="205"/>
      <c r="M40" s="206"/>
      <c r="N40" s="204">
        <f t="shared" ref="N40:N44" si="2">SUM(N30:P30)/1000</f>
        <v>1.2321382000000001E-2</v>
      </c>
      <c r="O40" s="205"/>
      <c r="P40" s="206"/>
      <c r="Q40" s="204">
        <f t="shared" ref="Q40:Q44" si="3">SUM(Q30:S30)/1000</f>
        <v>1.6145799999999998E-2</v>
      </c>
      <c r="R40" s="205"/>
      <c r="S40" s="206"/>
      <c r="T40" s="204">
        <f t="shared" ref="T40:T44" si="4">SUM(T30:V30)/1000</f>
        <v>1.6290469999999998E-2</v>
      </c>
      <c r="U40" s="205"/>
      <c r="V40" s="206"/>
    </row>
    <row r="41" spans="10:22">
      <c r="J41" s="4" t="s">
        <v>99</v>
      </c>
      <c r="K41" s="204">
        <f t="shared" si="1"/>
        <v>1.2250499999999999E-2</v>
      </c>
      <c r="L41" s="205"/>
      <c r="M41" s="206"/>
      <c r="N41" s="204">
        <f t="shared" si="2"/>
        <v>2.9273875000000002E-3</v>
      </c>
      <c r="O41" s="205"/>
      <c r="P41" s="206"/>
      <c r="Q41" s="204">
        <f t="shared" si="3"/>
        <v>7.7922499999999988E-3</v>
      </c>
      <c r="R41" s="205"/>
      <c r="S41" s="206"/>
      <c r="T41" s="204">
        <f t="shared" si="4"/>
        <v>1.0666999999999999E-2</v>
      </c>
      <c r="U41" s="205"/>
      <c r="V41" s="206"/>
    </row>
    <row r="42" spans="10:22">
      <c r="J42" s="4" t="s">
        <v>102</v>
      </c>
      <c r="K42" s="204">
        <f t="shared" si="1"/>
        <v>3.6344349999999997E-2</v>
      </c>
      <c r="L42" s="205"/>
      <c r="M42" s="206"/>
      <c r="N42" s="204">
        <f t="shared" si="2"/>
        <v>1.9147557499999999E-2</v>
      </c>
      <c r="O42" s="205"/>
      <c r="P42" s="206"/>
      <c r="Q42" s="204">
        <f t="shared" si="3"/>
        <v>1.1202100000000001E-2</v>
      </c>
      <c r="R42" s="205"/>
      <c r="S42" s="206"/>
      <c r="T42" s="204">
        <f t="shared" si="4"/>
        <v>2.6608349999999999E-2</v>
      </c>
      <c r="U42" s="205"/>
      <c r="V42" s="206"/>
    </row>
    <row r="43" spans="10:22">
      <c r="J43" s="4" t="s">
        <v>121</v>
      </c>
      <c r="K43" s="204">
        <f t="shared" si="1"/>
        <v>1.2999999999999999E-2</v>
      </c>
      <c r="L43" s="205"/>
      <c r="M43" s="206"/>
      <c r="N43" s="204">
        <f t="shared" si="2"/>
        <v>6.3499999999999997E-3</v>
      </c>
      <c r="O43" s="205"/>
      <c r="P43" s="206"/>
      <c r="Q43" s="204">
        <f t="shared" si="3"/>
        <v>8.9999999999999993E-3</v>
      </c>
      <c r="R43" s="205"/>
      <c r="S43" s="206"/>
      <c r="T43" s="204">
        <f t="shared" si="4"/>
        <v>2.1999999999999999E-2</v>
      </c>
      <c r="U43" s="205"/>
      <c r="V43" s="206"/>
    </row>
    <row r="44" spans="10:22">
      <c r="J44" s="4" t="s">
        <v>125</v>
      </c>
      <c r="K44" s="204">
        <f t="shared" si="1"/>
        <v>1.65E-3</v>
      </c>
      <c r="L44" s="205"/>
      <c r="M44" s="206"/>
      <c r="N44" s="204">
        <f t="shared" si="2"/>
        <v>7.5000000000000002E-4</v>
      </c>
      <c r="O44" s="205"/>
      <c r="P44" s="206"/>
      <c r="Q44" s="204">
        <f t="shared" si="3"/>
        <v>5.9999999999999995E-4</v>
      </c>
      <c r="R44" s="205"/>
      <c r="S44" s="206"/>
      <c r="T44" s="204">
        <f t="shared" si="4"/>
        <v>7.5000000000000002E-4</v>
      </c>
      <c r="U44" s="205"/>
      <c r="V44" s="206"/>
    </row>
    <row r="46" spans="10:22" ht="15" thickBot="1"/>
    <row r="47" spans="10:22" ht="15" thickBot="1">
      <c r="J47" s="67" t="s">
        <v>127</v>
      </c>
      <c r="K47" s="4">
        <v>2021</v>
      </c>
    </row>
    <row r="48" spans="10:22">
      <c r="J48" s="207" t="s">
        <v>89</v>
      </c>
      <c r="K48" s="185">
        <f>K39+N39+Q39+T39</f>
        <v>0.7466444166666667</v>
      </c>
    </row>
    <row r="49" spans="10:20">
      <c r="J49" s="208" t="s">
        <v>147</v>
      </c>
      <c r="K49" s="185">
        <f t="shared" ref="K49:K53" si="5">K40+N40+Q40+T40</f>
        <v>6.6195452000000002E-2</v>
      </c>
    </row>
    <row r="50" spans="10:20">
      <c r="J50" s="208" t="s">
        <v>99</v>
      </c>
      <c r="K50" s="185">
        <f t="shared" si="5"/>
        <v>3.3637137499999997E-2</v>
      </c>
    </row>
    <row r="51" spans="10:20">
      <c r="J51" s="208" t="s">
        <v>102</v>
      </c>
      <c r="K51" s="185">
        <f t="shared" si="5"/>
        <v>9.3302357500000002E-2</v>
      </c>
    </row>
    <row r="52" spans="10:20">
      <c r="J52" s="208" t="s">
        <v>121</v>
      </c>
      <c r="K52" s="185">
        <f t="shared" si="5"/>
        <v>5.0349999999999999E-2</v>
      </c>
    </row>
    <row r="53" spans="10:20">
      <c r="J53" s="208" t="s">
        <v>125</v>
      </c>
      <c r="K53" s="185">
        <f t="shared" si="5"/>
        <v>3.7499999999999999E-3</v>
      </c>
    </row>
    <row r="55" spans="10:20" ht="15" thickBot="1"/>
    <row r="56" spans="10:20" ht="18">
      <c r="J56" s="197" t="s">
        <v>127</v>
      </c>
      <c r="K56" s="4">
        <v>2021</v>
      </c>
      <c r="L56" s="198" t="s">
        <v>152</v>
      </c>
      <c r="M56" s="2" t="s">
        <v>153</v>
      </c>
      <c r="N56" s="2" t="s">
        <v>149</v>
      </c>
      <c r="O56" s="2" t="s">
        <v>150</v>
      </c>
      <c r="P56" s="2" t="s">
        <v>148</v>
      </c>
      <c r="Q56" s="198" t="s">
        <v>201</v>
      </c>
      <c r="T56" s="361" t="s">
        <v>281</v>
      </c>
    </row>
    <row r="57" spans="10:20" ht="18">
      <c r="J57" s="209" t="s">
        <v>89</v>
      </c>
      <c r="L57" s="199">
        <f>K48*Zeme21!C17</f>
        <v>0.31647617304838233</v>
      </c>
      <c r="M57" s="12">
        <f>K48*Zeme21!C18</f>
        <v>0.15513537894528545</v>
      </c>
      <c r="N57" s="12">
        <f>K48*Zeme21!C19</f>
        <v>0.17951379563668746</v>
      </c>
      <c r="O57" s="12">
        <f>K48*Zeme21!C20</f>
        <v>7.335687204412783E-2</v>
      </c>
      <c r="P57" s="12">
        <f>K48*Zeme21!C21</f>
        <v>2.2162196992183636E-2</v>
      </c>
      <c r="Q57" s="199">
        <f>M57+N57+O57+P57</f>
        <v>0.43016824361828437</v>
      </c>
    </row>
    <row r="58" spans="10:20" ht="18">
      <c r="J58" s="4" t="s">
        <v>207</v>
      </c>
      <c r="L58" s="199">
        <f>K49*Zeme21!C18</f>
        <v>1.3753878420896409E-2</v>
      </c>
      <c r="M58" s="12">
        <f>K49*Zeme21!C19</f>
        <v>1.5915202172751559E-2</v>
      </c>
      <c r="N58" s="12">
        <f>K49*Zeme21!C20</f>
        <v>6.5036196533095874E-3</v>
      </c>
      <c r="O58" s="12">
        <f>K49*Zeme21!C21</f>
        <v>1.9648397744137726E-3</v>
      </c>
      <c r="P58" s="12">
        <f>K49*Zeme21!C22</f>
        <v>2.665433116246499E-3</v>
      </c>
      <c r="Q58" s="199">
        <f t="shared" ref="Q58:Q62" si="6">M58+N58+O58+P58</f>
        <v>2.7049094716721421E-2</v>
      </c>
    </row>
    <row r="59" spans="10:20" ht="18">
      <c r="J59" s="209" t="s">
        <v>99</v>
      </c>
      <c r="L59" s="199">
        <f>K50*Zeme21!C19</f>
        <v>8.0872904051647373E-3</v>
      </c>
      <c r="M59" s="12">
        <f>K50*Zeme21!C20</f>
        <v>3.3048063260611455E-3</v>
      </c>
      <c r="N59" s="12">
        <f>K50*Zeme21!C21</f>
        <v>9.9843091421786875E-4</v>
      </c>
      <c r="O59" s="12">
        <f>K50*Zeme21!C22</f>
        <v>1.3544365589985995E-3</v>
      </c>
      <c r="P59" s="12">
        <f>K50*Zeme21!C23</f>
        <v>0</v>
      </c>
      <c r="Q59" s="199">
        <f t="shared" si="6"/>
        <v>5.6576737992776139E-3</v>
      </c>
    </row>
    <row r="60" spans="10:20" ht="18">
      <c r="J60" s="70" t="s">
        <v>102</v>
      </c>
      <c r="L60" s="199">
        <f>K51*Zeme21!C20</f>
        <v>9.1668389232709997E-3</v>
      </c>
      <c r="M60" s="12">
        <f>K51*Zeme21!C21</f>
        <v>2.7694377411694865E-3</v>
      </c>
      <c r="N60" s="12">
        <f>K51*Zeme21!C22</f>
        <v>3.7569226584383756E-3</v>
      </c>
      <c r="O60" s="12">
        <f>K51*Zeme21!C23</f>
        <v>0</v>
      </c>
      <c r="P60" s="12">
        <f>K51*Zeme21!C24</f>
        <v>0</v>
      </c>
      <c r="Q60" s="199">
        <f t="shared" si="6"/>
        <v>6.5263603996078626E-3</v>
      </c>
    </row>
    <row r="61" spans="10:20" ht="18">
      <c r="J61" s="70" t="s">
        <v>121</v>
      </c>
      <c r="L61" s="199">
        <f>K52*Zeme21!C21</f>
        <v>1.4945087563075098E-3</v>
      </c>
      <c r="M61" s="12">
        <f>K52*Zeme21!C22</f>
        <v>2.0273984593837534E-3</v>
      </c>
      <c r="N61" s="12">
        <f>K52*Zeme21!C23</f>
        <v>0</v>
      </c>
      <c r="O61" s="12">
        <f>K52*Zeme21!C24</f>
        <v>0</v>
      </c>
      <c r="P61" s="12">
        <f>K52*Zeme21!C25</f>
        <v>0</v>
      </c>
      <c r="Q61" s="199">
        <f t="shared" si="6"/>
        <v>2.0273984593837534E-3</v>
      </c>
    </row>
    <row r="62" spans="10:20" ht="18">
      <c r="J62" s="210" t="s">
        <v>125</v>
      </c>
      <c r="L62" s="199">
        <f>K53*Zeme21!C22</f>
        <v>1.5099789915966387E-4</v>
      </c>
      <c r="M62" s="12">
        <f>K53*Zeme21!C23</f>
        <v>0</v>
      </c>
      <c r="N62" s="12">
        <f>K53*Zeme21!C24</f>
        <v>0</v>
      </c>
      <c r="O62" s="12">
        <f>K53*Zeme21!C25</f>
        <v>0</v>
      </c>
      <c r="P62" s="12">
        <f>K53*Zeme21!C26</f>
        <v>0</v>
      </c>
      <c r="Q62" s="199">
        <f t="shared" si="6"/>
        <v>0</v>
      </c>
    </row>
    <row r="63" spans="10:20" ht="15" thickBot="1"/>
    <row r="64" spans="10:20" ht="15" thickBot="1">
      <c r="J64" s="197" t="s">
        <v>127</v>
      </c>
    </row>
    <row r="65" spans="10:20">
      <c r="J65" s="242" t="s">
        <v>99</v>
      </c>
      <c r="K65" s="242"/>
      <c r="L65" s="243">
        <f>L57+L58+L59</f>
        <v>0.33831734187444351</v>
      </c>
      <c r="T65" s="247">
        <f>L65*1000</f>
        <v>338.31734187444351</v>
      </c>
    </row>
    <row r="66" spans="10:20" ht="15" thickBot="1">
      <c r="J66" s="244" t="s">
        <v>174</v>
      </c>
      <c r="K66" s="244"/>
      <c r="L66" s="245">
        <f>L60+L61</f>
        <v>1.066134767957851E-2</v>
      </c>
      <c r="T66" s="248">
        <f>L66*1000</f>
        <v>10.66134767957851</v>
      </c>
    </row>
    <row r="67" spans="10:20" ht="15" thickBot="1">
      <c r="J67" s="271" t="s">
        <v>213</v>
      </c>
      <c r="K67" s="271"/>
      <c r="L67" s="360">
        <f>L62</f>
        <v>1.5099789915966387E-4</v>
      </c>
      <c r="T67" s="272">
        <f>L67*1000</f>
        <v>0.15099789915966388</v>
      </c>
    </row>
  </sheetData>
  <autoFilter ref="B1:B43" xr:uid="{00000000-0009-0000-0000-000009000000}"/>
  <phoneticPr fontId="74" type="noConversion"/>
  <conditionalFormatting sqref="G1:I1 H2:I2 G3:I24 H25:I25 G26:I1048576">
    <cfRule type="cellIs" dxfId="5" priority="1" operator="equal">
      <formula>FALSE</formula>
    </cfRule>
    <cfRule type="cellIs" dxfId="4" priority="2" operator="equal">
      <formula>TRUE</formula>
    </cfRule>
  </conditionalFormatting>
  <pageMargins left="0.7" right="0.7" top="0.75" bottom="0.75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3E39F-0367-41C1-AD9C-7647158E6B44}">
  <sheetPr>
    <tabColor rgb="FFFFC000"/>
  </sheetPr>
  <dimension ref="A1:V67"/>
  <sheetViews>
    <sheetView topLeftCell="A21" zoomScale="80" zoomScaleNormal="80" workbookViewId="0">
      <selection activeCell="A23" sqref="A23:V23"/>
    </sheetView>
  </sheetViews>
  <sheetFormatPr defaultColWidth="8.88671875" defaultRowHeight="14.4"/>
  <cols>
    <col min="1" max="1" width="25" customWidth="1"/>
    <col min="2" max="2" width="17.5546875" style="5" customWidth="1"/>
    <col min="3" max="3" width="8" style="2" customWidth="1"/>
    <col min="4" max="4" width="46.33203125" style="8" customWidth="1"/>
    <col min="5" max="5" width="21.33203125" style="15" customWidth="1"/>
    <col min="6" max="6" width="8.88671875" style="16"/>
    <col min="9" max="9" width="11.109375" style="2" customWidth="1"/>
    <col min="10" max="10" width="13.33203125" customWidth="1"/>
    <col min="11" max="11" width="11.44140625" bestFit="1" customWidth="1"/>
    <col min="12" max="12" width="13.5546875" bestFit="1" customWidth="1"/>
    <col min="13" max="18" width="10.33203125" bestFit="1" customWidth="1"/>
    <col min="19" max="19" width="9.33203125" bestFit="1" customWidth="1"/>
    <col min="20" max="22" width="10.33203125" bestFit="1" customWidth="1"/>
  </cols>
  <sheetData>
    <row r="1" spans="1:22" ht="18">
      <c r="A1" s="229" t="s">
        <v>211</v>
      </c>
      <c r="B1" s="230" t="s">
        <v>69</v>
      </c>
      <c r="C1" s="230" t="s">
        <v>70</v>
      </c>
      <c r="D1" s="365" t="s">
        <v>212</v>
      </c>
      <c r="E1" s="366" t="s">
        <v>305</v>
      </c>
      <c r="F1" s="231"/>
      <c r="G1" s="88" t="s">
        <v>304</v>
      </c>
      <c r="H1" s="89"/>
      <c r="I1" s="88"/>
      <c r="J1" s="3"/>
      <c r="K1" s="3"/>
      <c r="O1" t="s">
        <v>329</v>
      </c>
    </row>
    <row r="2" spans="1:22" ht="15" customHeight="1">
      <c r="A2" s="77" t="s">
        <v>71</v>
      </c>
      <c r="B2" s="76" t="s">
        <v>72</v>
      </c>
      <c r="C2" s="76"/>
      <c r="D2" s="78" t="s">
        <v>73</v>
      </c>
      <c r="E2" s="79" t="s">
        <v>74</v>
      </c>
      <c r="F2" s="80"/>
      <c r="J2" s="3"/>
      <c r="K2" s="388" t="s">
        <v>87</v>
      </c>
      <c r="L2" s="388" t="s">
        <v>88</v>
      </c>
      <c r="M2" s="388" t="s">
        <v>352</v>
      </c>
      <c r="N2" s="388" t="s">
        <v>353</v>
      </c>
      <c r="O2" s="388" t="s">
        <v>354</v>
      </c>
      <c r="P2" s="388" t="s">
        <v>355</v>
      </c>
      <c r="Q2" s="388" t="s">
        <v>356</v>
      </c>
      <c r="R2" s="388" t="s">
        <v>357</v>
      </c>
      <c r="S2" s="388" t="s">
        <v>358</v>
      </c>
      <c r="T2" s="388" t="s">
        <v>359</v>
      </c>
      <c r="U2" s="388" t="s">
        <v>360</v>
      </c>
      <c r="V2" s="388" t="s">
        <v>361</v>
      </c>
    </row>
    <row r="3" spans="1:22" ht="15" customHeight="1">
      <c r="A3" s="81" t="s">
        <v>137</v>
      </c>
      <c r="B3" s="82" t="s">
        <v>89</v>
      </c>
      <c r="C3" s="73">
        <v>0.08</v>
      </c>
      <c r="D3" s="74" t="s">
        <v>199</v>
      </c>
      <c r="E3" s="83" t="s">
        <v>90</v>
      </c>
      <c r="F3" s="6"/>
      <c r="G3" t="s">
        <v>135</v>
      </c>
      <c r="H3" t="s">
        <v>135</v>
      </c>
      <c r="I3" t="s">
        <v>135</v>
      </c>
      <c r="J3" s="8"/>
      <c r="K3" s="12">
        <v>2.2400000000000002</v>
      </c>
      <c r="L3" s="12">
        <v>0.8</v>
      </c>
      <c r="M3" s="12">
        <v>4</v>
      </c>
      <c r="N3" s="90">
        <v>1.1000000000000001E-2</v>
      </c>
      <c r="O3" s="90">
        <v>0.48</v>
      </c>
      <c r="P3" s="90">
        <v>4.96</v>
      </c>
      <c r="Q3" s="12">
        <v>5.04</v>
      </c>
      <c r="R3" s="12">
        <v>3.5</v>
      </c>
      <c r="S3" s="12">
        <v>4.8800000000000008</v>
      </c>
      <c r="T3" s="90">
        <v>0</v>
      </c>
      <c r="U3" s="90">
        <v>5.04</v>
      </c>
      <c r="V3" s="90">
        <v>4.8</v>
      </c>
    </row>
    <row r="4" spans="1:22" ht="15" customHeight="1">
      <c r="A4" s="81"/>
      <c r="B4" s="82" t="s">
        <v>89</v>
      </c>
      <c r="C4" s="73">
        <v>0.09</v>
      </c>
      <c r="D4" s="74" t="s">
        <v>91</v>
      </c>
      <c r="E4" s="83" t="s">
        <v>140</v>
      </c>
      <c r="F4" s="6"/>
      <c r="G4" t="s">
        <v>135</v>
      </c>
      <c r="H4" t="s">
        <v>135</v>
      </c>
      <c r="I4" t="s">
        <v>135</v>
      </c>
      <c r="K4" s="12">
        <v>0.22500000000000001</v>
      </c>
      <c r="L4" s="12">
        <v>0</v>
      </c>
      <c r="M4" s="12">
        <v>0.22500000000000001</v>
      </c>
      <c r="N4" s="90">
        <v>0.22500000000000001</v>
      </c>
      <c r="O4" s="90">
        <v>0.45</v>
      </c>
      <c r="P4" s="90">
        <v>0</v>
      </c>
      <c r="Q4" s="12">
        <v>0</v>
      </c>
      <c r="R4" s="12">
        <v>0.09</v>
      </c>
      <c r="S4" s="12">
        <v>0</v>
      </c>
      <c r="T4" s="90">
        <v>4.4999999999999998E-2</v>
      </c>
      <c r="U4" s="90">
        <v>4.4999999999999998E-2</v>
      </c>
      <c r="V4" s="90">
        <v>0.26999999999999996</v>
      </c>
    </row>
    <row r="5" spans="1:22" ht="15" customHeight="1">
      <c r="A5" s="81"/>
      <c r="B5" s="82" t="s">
        <v>89</v>
      </c>
      <c r="C5" s="73">
        <v>0.23</v>
      </c>
      <c r="D5" s="74" t="s">
        <v>198</v>
      </c>
      <c r="E5" s="83" t="s">
        <v>141</v>
      </c>
      <c r="F5" s="6"/>
      <c r="G5" t="s">
        <v>135</v>
      </c>
      <c r="H5" t="b">
        <v>0</v>
      </c>
      <c r="I5" t="s">
        <v>135</v>
      </c>
      <c r="K5" s="12">
        <v>3.6799999999999997</v>
      </c>
      <c r="L5" s="12">
        <v>8.3949999999999996</v>
      </c>
      <c r="M5" s="12">
        <v>1.9550000000000001</v>
      </c>
      <c r="N5" s="90">
        <v>5.7499999999999996E-2</v>
      </c>
      <c r="O5" s="90">
        <v>2.2999999999999998</v>
      </c>
      <c r="P5" s="90">
        <v>4.5999999999999996</v>
      </c>
      <c r="Q5" s="12">
        <v>0.34500000000000003</v>
      </c>
      <c r="R5" s="12">
        <v>0.34500000000000003</v>
      </c>
      <c r="S5" s="12">
        <v>0.23000000000000004</v>
      </c>
      <c r="T5" s="90">
        <v>0.23000000000000004</v>
      </c>
      <c r="U5" s="90">
        <v>0.92000000000000015</v>
      </c>
      <c r="V5" s="90">
        <v>1.9550000000000001</v>
      </c>
    </row>
    <row r="6" spans="1:22" ht="15" customHeight="1">
      <c r="A6" s="81" t="s">
        <v>92</v>
      </c>
      <c r="B6" s="82" t="s">
        <v>89</v>
      </c>
      <c r="C6" s="73">
        <v>7.4999999999999997E-2</v>
      </c>
      <c r="D6" s="74" t="s">
        <v>197</v>
      </c>
      <c r="E6" s="83" t="s">
        <v>142</v>
      </c>
      <c r="F6" s="6"/>
      <c r="G6" t="s">
        <v>135</v>
      </c>
      <c r="H6" t="s">
        <v>135</v>
      </c>
      <c r="I6" t="s">
        <v>135</v>
      </c>
      <c r="K6" s="12">
        <v>23.875</v>
      </c>
      <c r="L6" s="12">
        <v>27.625</v>
      </c>
      <c r="M6" s="12">
        <v>28.006249999999998</v>
      </c>
      <c r="N6" s="90">
        <v>0.70624999999999993</v>
      </c>
      <c r="O6" s="90">
        <v>3.0543749999999998</v>
      </c>
      <c r="P6" s="90">
        <v>3.4375</v>
      </c>
      <c r="Q6" s="12">
        <v>2</v>
      </c>
      <c r="R6" s="12">
        <v>4</v>
      </c>
      <c r="S6" s="12">
        <v>0</v>
      </c>
      <c r="T6" s="90">
        <v>4.5</v>
      </c>
      <c r="U6" s="90">
        <v>28.5</v>
      </c>
      <c r="V6" s="90">
        <v>20.0625</v>
      </c>
    </row>
    <row r="7" spans="1:22" ht="15" customHeight="1">
      <c r="A7" s="81" t="s">
        <v>93</v>
      </c>
      <c r="B7" s="72" t="s">
        <v>147</v>
      </c>
      <c r="C7" s="73">
        <v>2.3E-2</v>
      </c>
      <c r="D7" s="74" t="s">
        <v>195</v>
      </c>
      <c r="E7" s="84" t="s">
        <v>143</v>
      </c>
      <c r="F7" s="6"/>
      <c r="G7" t="s">
        <v>135</v>
      </c>
      <c r="H7" t="s">
        <v>135</v>
      </c>
      <c r="I7" t="s">
        <v>135</v>
      </c>
      <c r="K7" s="12">
        <v>8.625</v>
      </c>
      <c r="L7" s="12">
        <v>4.5999999999999996</v>
      </c>
      <c r="M7" s="12">
        <v>4.83</v>
      </c>
      <c r="N7" s="90">
        <v>0.20125000000000001</v>
      </c>
      <c r="O7" s="90">
        <v>5.1749999999999998</v>
      </c>
      <c r="P7" s="90">
        <v>5.1749999999999998</v>
      </c>
      <c r="Q7" s="12">
        <v>5.1749999999999998</v>
      </c>
      <c r="R7" s="12">
        <v>3.7950000000000004</v>
      </c>
      <c r="S7" s="12">
        <v>5.52</v>
      </c>
      <c r="T7" s="90">
        <v>10.35</v>
      </c>
      <c r="U7" s="90">
        <v>1.7250000000000001</v>
      </c>
      <c r="V7" s="90">
        <v>1.7250000000000001</v>
      </c>
    </row>
    <row r="8" spans="1:22" ht="15" customHeight="1">
      <c r="A8" s="81" t="s">
        <v>136</v>
      </c>
      <c r="B8" s="82" t="s">
        <v>89</v>
      </c>
      <c r="C8" s="73">
        <v>0.19</v>
      </c>
      <c r="D8" s="74" t="s">
        <v>196</v>
      </c>
      <c r="E8" s="84" t="s">
        <v>94</v>
      </c>
      <c r="F8" s="6"/>
      <c r="G8" t="s">
        <v>135</v>
      </c>
      <c r="H8" t="s">
        <v>135</v>
      </c>
      <c r="I8" t="s">
        <v>135</v>
      </c>
      <c r="K8" s="12">
        <v>39.331583333333334</v>
      </c>
      <c r="L8" s="12">
        <v>49.58841666666666</v>
      </c>
      <c r="M8" s="12">
        <v>51.301583333333326</v>
      </c>
      <c r="N8" s="90">
        <v>3.496</v>
      </c>
      <c r="O8" s="90">
        <v>60.419999999999995</v>
      </c>
      <c r="P8" s="90">
        <v>36.408750000000005</v>
      </c>
      <c r="Q8" s="12">
        <v>37.68333333333333</v>
      </c>
      <c r="R8" s="12">
        <v>41.546666666666674</v>
      </c>
      <c r="S8" s="12">
        <v>1.0766666666666664</v>
      </c>
      <c r="T8" s="90">
        <v>62.228166666666674</v>
      </c>
      <c r="U8" s="90">
        <v>5.4625E-2</v>
      </c>
      <c r="V8" s="90">
        <v>55.399249999999995</v>
      </c>
    </row>
    <row r="9" spans="1:22" ht="15" customHeight="1">
      <c r="A9" s="81" t="s">
        <v>95</v>
      </c>
      <c r="B9" s="72" t="s">
        <v>147</v>
      </c>
      <c r="C9" s="73">
        <v>4.4999999999999997E-3</v>
      </c>
      <c r="D9" s="85" t="s">
        <v>96</v>
      </c>
      <c r="E9" s="84" t="s">
        <v>97</v>
      </c>
      <c r="F9" s="6"/>
      <c r="G9" t="s">
        <v>135</v>
      </c>
      <c r="H9" t="s">
        <v>135</v>
      </c>
      <c r="I9" t="s">
        <v>135</v>
      </c>
      <c r="K9" s="12">
        <v>1.9125000000000001</v>
      </c>
      <c r="L9" s="12">
        <v>0.33750000000000002</v>
      </c>
      <c r="M9" s="12">
        <v>1.0125</v>
      </c>
      <c r="N9" s="90">
        <v>3.3750000000000002E-2</v>
      </c>
      <c r="O9" s="90">
        <v>0.74249999999999994</v>
      </c>
      <c r="P9" s="90">
        <v>0.83249999999999991</v>
      </c>
      <c r="Q9" s="12">
        <v>0.26999999999999996</v>
      </c>
      <c r="R9" s="12">
        <v>0.80999999999999994</v>
      </c>
      <c r="S9" s="12">
        <v>0.315</v>
      </c>
      <c r="T9" s="90">
        <v>0.74249999999999994</v>
      </c>
      <c r="U9" s="90">
        <v>0.5625</v>
      </c>
      <c r="V9" s="90">
        <v>1.0125</v>
      </c>
    </row>
    <row r="10" spans="1:22" ht="15" customHeight="1">
      <c r="A10" s="81" t="s">
        <v>98</v>
      </c>
      <c r="B10" s="82" t="s">
        <v>99</v>
      </c>
      <c r="C10" s="73">
        <v>1.67E-2</v>
      </c>
      <c r="D10" s="85" t="s">
        <v>98</v>
      </c>
      <c r="E10" s="84" t="s">
        <v>100</v>
      </c>
      <c r="F10" s="6"/>
      <c r="G10" t="s">
        <v>135</v>
      </c>
      <c r="H10" t="s">
        <v>135</v>
      </c>
      <c r="I10" t="s">
        <v>135</v>
      </c>
      <c r="K10" s="12">
        <v>6.6799999999999998E-2</v>
      </c>
      <c r="L10" s="12">
        <v>8.3499999999999991E-2</v>
      </c>
      <c r="M10" s="12">
        <v>0.1002</v>
      </c>
      <c r="N10" s="90">
        <v>2.0874999999999999E-3</v>
      </c>
      <c r="O10" s="90">
        <v>9.1850000000000001E-2</v>
      </c>
      <c r="P10" s="90">
        <v>5.8450000000000002E-2</v>
      </c>
      <c r="Q10" s="12">
        <v>7.5149999999999995E-2</v>
      </c>
      <c r="R10" s="12">
        <v>5.8450000000000002E-2</v>
      </c>
      <c r="S10" s="12">
        <v>0.15865000000000001</v>
      </c>
      <c r="T10" s="90">
        <v>5.8450000000000002E-2</v>
      </c>
      <c r="U10" s="90">
        <v>7.5149999999999995E-2</v>
      </c>
      <c r="V10" s="90">
        <v>3.3399999999999999E-2</v>
      </c>
    </row>
    <row r="11" spans="1:22" ht="15" customHeight="1">
      <c r="A11" s="81" t="s">
        <v>101</v>
      </c>
      <c r="B11" s="82" t="s">
        <v>102</v>
      </c>
      <c r="C11" s="73">
        <v>0.114</v>
      </c>
      <c r="D11" s="74" t="s">
        <v>103</v>
      </c>
      <c r="E11" s="83" t="s">
        <v>104</v>
      </c>
      <c r="F11" s="6"/>
      <c r="G11" t="s">
        <v>135</v>
      </c>
      <c r="H11" t="s">
        <v>135</v>
      </c>
      <c r="I11" t="s">
        <v>135</v>
      </c>
      <c r="K11" s="12">
        <v>0.17099999999999999</v>
      </c>
      <c r="L11" s="12">
        <v>1.026</v>
      </c>
      <c r="M11" s="12">
        <v>0.57000000000000006</v>
      </c>
      <c r="N11" s="90">
        <v>1.311E-2</v>
      </c>
      <c r="O11" s="90">
        <v>1.083</v>
      </c>
      <c r="P11" s="90">
        <v>0.11400000000000002</v>
      </c>
      <c r="Q11" s="12">
        <v>0.39900000000000002</v>
      </c>
      <c r="R11" s="12">
        <v>0.85500000000000009</v>
      </c>
      <c r="S11" s="12">
        <v>0.627</v>
      </c>
      <c r="T11" s="90">
        <v>0.39900000000000002</v>
      </c>
      <c r="U11" s="90">
        <v>0.22800000000000004</v>
      </c>
      <c r="V11" s="90">
        <v>0.57000000000000006</v>
      </c>
    </row>
    <row r="12" spans="1:22" ht="15" customHeight="1">
      <c r="A12" s="81"/>
      <c r="B12" s="82" t="s">
        <v>102</v>
      </c>
      <c r="C12" s="73">
        <v>6.6000000000000003E-2</v>
      </c>
      <c r="D12" s="85" t="s">
        <v>134</v>
      </c>
      <c r="E12" s="83" t="s">
        <v>105</v>
      </c>
      <c r="F12" s="6"/>
      <c r="G12" t="s">
        <v>135</v>
      </c>
      <c r="H12" t="s">
        <v>135</v>
      </c>
      <c r="I12" t="s">
        <v>135</v>
      </c>
      <c r="K12" s="12">
        <v>4.9500000000000002E-2</v>
      </c>
      <c r="L12" s="12">
        <v>6.6000000000000003E-2</v>
      </c>
      <c r="M12" s="12">
        <v>3.3000000000000002E-2</v>
      </c>
      <c r="N12" s="90">
        <v>2.4750000000000001E-2</v>
      </c>
      <c r="O12" s="90">
        <v>0.16500000000000001</v>
      </c>
      <c r="P12" s="90">
        <v>9.9000000000000005E-2</v>
      </c>
      <c r="Q12" s="12">
        <v>3.3000000000000002E-2</v>
      </c>
      <c r="R12" s="12">
        <v>9.9000000000000005E-2</v>
      </c>
      <c r="S12" s="12">
        <v>9.9000000000000005E-2</v>
      </c>
      <c r="T12" s="90">
        <v>0.25740000000000002</v>
      </c>
      <c r="U12" s="90">
        <v>0.13200000000000001</v>
      </c>
      <c r="V12" s="90">
        <v>0.13200000000000001</v>
      </c>
    </row>
    <row r="13" spans="1:22" ht="15" customHeight="1">
      <c r="A13" s="81"/>
      <c r="B13" s="82" t="s">
        <v>102</v>
      </c>
      <c r="C13" s="73">
        <v>0.13900000000000001</v>
      </c>
      <c r="D13" s="85" t="s">
        <v>106</v>
      </c>
      <c r="E13" s="83" t="s">
        <v>107</v>
      </c>
      <c r="F13" s="6"/>
      <c r="G13" t="s">
        <v>135</v>
      </c>
      <c r="H13" t="s">
        <v>135</v>
      </c>
      <c r="I13" t="s">
        <v>135</v>
      </c>
      <c r="K13" s="12">
        <v>6.9500000000000004E-3</v>
      </c>
      <c r="L13" s="12">
        <v>1.3900000000000001E-2</v>
      </c>
      <c r="M13" s="12">
        <v>0</v>
      </c>
      <c r="N13" s="90">
        <v>3.4750000000000004E-4</v>
      </c>
      <c r="O13" s="90">
        <v>6.9500000000000004E-3</v>
      </c>
      <c r="P13" s="90">
        <v>8.3400000000000002E-2</v>
      </c>
      <c r="Q13" s="12">
        <v>0.11120000000000001</v>
      </c>
      <c r="R13" s="12">
        <v>1.3900000000000001E-2</v>
      </c>
      <c r="S13" s="12">
        <v>0</v>
      </c>
      <c r="T13" s="90">
        <v>6.9500000000000004E-3</v>
      </c>
      <c r="U13" s="90">
        <v>0</v>
      </c>
      <c r="V13" s="90">
        <v>0</v>
      </c>
    </row>
    <row r="14" spans="1:22" ht="15" customHeight="1">
      <c r="A14" s="81" t="s">
        <v>108</v>
      </c>
      <c r="B14" s="82" t="s">
        <v>102</v>
      </c>
      <c r="C14" s="73">
        <v>1.58</v>
      </c>
      <c r="D14" s="86" t="s">
        <v>109</v>
      </c>
      <c r="E14" s="83" t="s">
        <v>110</v>
      </c>
      <c r="F14" s="6"/>
      <c r="G14" t="s">
        <v>135</v>
      </c>
      <c r="H14" t="s">
        <v>135</v>
      </c>
      <c r="I14" t="s">
        <v>135</v>
      </c>
      <c r="K14" s="12">
        <v>0.47400000000000003</v>
      </c>
      <c r="L14" s="12">
        <v>0.71100000000000008</v>
      </c>
      <c r="M14" s="12">
        <v>0.55300000000000005</v>
      </c>
      <c r="N14" s="90">
        <v>3.95E-2</v>
      </c>
      <c r="O14" s="90">
        <v>2.923</v>
      </c>
      <c r="P14" s="90">
        <v>0.55300000000000005</v>
      </c>
      <c r="Q14" s="12">
        <v>0.316</v>
      </c>
      <c r="R14" s="12">
        <v>0.47400000000000003</v>
      </c>
      <c r="S14" s="12">
        <v>0.39500000000000002</v>
      </c>
      <c r="T14" s="90">
        <v>0.79</v>
      </c>
      <c r="U14" s="90">
        <v>0.71100000000000008</v>
      </c>
      <c r="V14" s="90">
        <v>0.63200000000000001</v>
      </c>
    </row>
    <row r="15" spans="1:22" ht="15" customHeight="1">
      <c r="A15" s="81"/>
      <c r="B15" s="82" t="s">
        <v>102</v>
      </c>
      <c r="C15" s="73">
        <v>2.8</v>
      </c>
      <c r="D15" s="74" t="s">
        <v>112</v>
      </c>
      <c r="E15" s="83" t="s">
        <v>111</v>
      </c>
      <c r="F15" s="6"/>
      <c r="G15" t="s">
        <v>135</v>
      </c>
      <c r="H15" t="s">
        <v>135</v>
      </c>
      <c r="I15" t="s">
        <v>135</v>
      </c>
      <c r="K15" s="12">
        <v>0.13999999999999999</v>
      </c>
      <c r="L15" s="12">
        <v>0.13999999999999999</v>
      </c>
      <c r="M15" s="12">
        <v>0.13999999999999999</v>
      </c>
      <c r="N15" s="90">
        <v>1.7499999999999998E-2</v>
      </c>
      <c r="O15" s="90">
        <v>0</v>
      </c>
      <c r="P15" s="90">
        <v>0</v>
      </c>
      <c r="Q15" s="12">
        <v>0.13999999999999999</v>
      </c>
      <c r="R15" s="12">
        <v>0</v>
      </c>
      <c r="S15" s="12">
        <v>0.13999999999999999</v>
      </c>
      <c r="T15" s="90">
        <v>0</v>
      </c>
      <c r="U15" s="90">
        <v>0</v>
      </c>
      <c r="V15" s="90">
        <v>0</v>
      </c>
    </row>
    <row r="16" spans="1:22" ht="15" customHeight="1">
      <c r="A16" s="81"/>
      <c r="B16" s="72" t="s">
        <v>147</v>
      </c>
      <c r="C16" s="73">
        <v>3.8000000000000002E-4</v>
      </c>
      <c r="D16" s="85" t="s">
        <v>113</v>
      </c>
      <c r="E16" s="83" t="s">
        <v>114</v>
      </c>
      <c r="F16" s="6"/>
      <c r="G16" t="s">
        <v>135</v>
      </c>
      <c r="H16" t="b">
        <v>0</v>
      </c>
      <c r="I16" t="s">
        <v>135</v>
      </c>
      <c r="K16" s="12">
        <v>1.9E-3</v>
      </c>
      <c r="L16" s="12">
        <v>1.9E-2</v>
      </c>
      <c r="M16" s="12">
        <v>1.9E-3</v>
      </c>
      <c r="N16" s="90">
        <v>9.5000000000000005E-5</v>
      </c>
      <c r="O16" s="90">
        <v>1.9E-3</v>
      </c>
      <c r="P16" s="90">
        <v>6.0762000000000004E-2</v>
      </c>
      <c r="Q16" s="12">
        <v>0.13300000000000001</v>
      </c>
      <c r="R16" s="12">
        <v>9.4999999999999998E-3</v>
      </c>
      <c r="S16" s="12">
        <v>1.3300000000000001E-2</v>
      </c>
      <c r="T16" s="90">
        <v>3.4200000000000001E-2</v>
      </c>
      <c r="U16" s="90">
        <v>0</v>
      </c>
      <c r="V16" s="90">
        <v>3.8E-3</v>
      </c>
    </row>
    <row r="17" spans="1:22" ht="15" customHeight="1">
      <c r="A17" s="81"/>
      <c r="B17" s="72" t="s">
        <v>147</v>
      </c>
      <c r="C17" s="73">
        <v>1.4999999999999999E-4</v>
      </c>
      <c r="D17" s="74" t="s">
        <v>115</v>
      </c>
      <c r="E17" s="83" t="s">
        <v>116</v>
      </c>
      <c r="F17" s="6"/>
      <c r="G17" t="s">
        <v>135</v>
      </c>
      <c r="H17" t="s">
        <v>135</v>
      </c>
      <c r="I17" t="s">
        <v>135</v>
      </c>
      <c r="K17" s="12">
        <v>4.4999999999999998E-2</v>
      </c>
      <c r="L17" s="12">
        <v>3.7499999999999999E-2</v>
      </c>
      <c r="M17" s="12">
        <v>1.4999999999999999E-2</v>
      </c>
      <c r="N17" s="90">
        <v>1.1249999999999999E-3</v>
      </c>
      <c r="O17" s="90">
        <v>5.2499999999999991E-2</v>
      </c>
      <c r="P17" s="90">
        <v>4.4999999999999998E-2</v>
      </c>
      <c r="Q17" s="12">
        <v>0.06</v>
      </c>
      <c r="R17" s="12">
        <v>2.6249999999999996E-2</v>
      </c>
      <c r="S17" s="12">
        <v>1.8749999999999996E-2</v>
      </c>
      <c r="T17" s="90">
        <v>0.13494</v>
      </c>
      <c r="U17" s="90">
        <v>1.4999999999999999E-5</v>
      </c>
      <c r="V17" s="90">
        <v>1.4999999999999999E-5</v>
      </c>
    </row>
    <row r="18" spans="1:22" ht="15" customHeight="1">
      <c r="A18" s="81"/>
      <c r="B18" s="82" t="s">
        <v>99</v>
      </c>
      <c r="C18" s="73">
        <v>10</v>
      </c>
      <c r="D18" s="74" t="s">
        <v>133</v>
      </c>
      <c r="E18" s="83" t="s">
        <v>117</v>
      </c>
      <c r="F18" s="6"/>
      <c r="G18" t="s">
        <v>135</v>
      </c>
      <c r="H18" t="b">
        <v>0</v>
      </c>
      <c r="I18" t="s">
        <v>135</v>
      </c>
      <c r="K18" s="12">
        <v>5</v>
      </c>
      <c r="L18" s="12">
        <v>7</v>
      </c>
      <c r="M18" s="12">
        <v>0</v>
      </c>
      <c r="N18" s="90">
        <v>0.27500000000000002</v>
      </c>
      <c r="O18" s="90">
        <v>2.5</v>
      </c>
      <c r="P18" s="90">
        <v>0</v>
      </c>
      <c r="Q18" s="12">
        <v>5</v>
      </c>
      <c r="R18" s="12">
        <v>0</v>
      </c>
      <c r="S18" s="12">
        <v>2.5</v>
      </c>
      <c r="T18" s="90">
        <v>6.5</v>
      </c>
      <c r="U18" s="90">
        <v>2</v>
      </c>
      <c r="V18" s="90">
        <v>2</v>
      </c>
    </row>
    <row r="19" spans="1:22" ht="15" customHeight="1">
      <c r="A19" s="81"/>
      <c r="B19" s="82" t="s">
        <v>102</v>
      </c>
      <c r="C19" s="73">
        <v>5.0000000000000001E-3</v>
      </c>
      <c r="D19" s="74" t="s">
        <v>118</v>
      </c>
      <c r="E19" s="84" t="s">
        <v>119</v>
      </c>
      <c r="F19" s="6"/>
      <c r="G19" t="s">
        <v>135</v>
      </c>
      <c r="H19" t="s">
        <v>135</v>
      </c>
      <c r="I19" t="s">
        <v>135</v>
      </c>
      <c r="K19" s="12">
        <v>12.5</v>
      </c>
      <c r="L19" s="12">
        <v>9.75</v>
      </c>
      <c r="M19" s="12">
        <v>10</v>
      </c>
      <c r="N19" s="90">
        <v>0.17499999999999999</v>
      </c>
      <c r="O19" s="90">
        <v>8</v>
      </c>
      <c r="P19" s="90">
        <v>5.85</v>
      </c>
      <c r="Q19" s="12">
        <v>1</v>
      </c>
      <c r="R19" s="12">
        <v>1</v>
      </c>
      <c r="S19" s="12">
        <v>5.5</v>
      </c>
      <c r="T19" s="90">
        <v>11</v>
      </c>
      <c r="U19" s="90">
        <v>8.5</v>
      </c>
      <c r="V19" s="90">
        <v>3.25</v>
      </c>
    </row>
    <row r="20" spans="1:22" ht="15" customHeight="1">
      <c r="A20" s="81" t="s">
        <v>120</v>
      </c>
      <c r="B20" s="82" t="s">
        <v>121</v>
      </c>
      <c r="C20" s="73">
        <v>10</v>
      </c>
      <c r="D20" s="74" t="s">
        <v>122</v>
      </c>
      <c r="E20" s="83" t="s">
        <v>123</v>
      </c>
      <c r="F20" s="6"/>
      <c r="G20" t="s">
        <v>135</v>
      </c>
      <c r="H20" t="s">
        <v>135</v>
      </c>
      <c r="I20" t="s">
        <v>135</v>
      </c>
      <c r="K20" s="12">
        <v>2</v>
      </c>
      <c r="L20" s="12">
        <v>6</v>
      </c>
      <c r="M20" s="12">
        <v>5</v>
      </c>
      <c r="N20" s="90">
        <v>0.35</v>
      </c>
      <c r="O20" s="90">
        <v>2</v>
      </c>
      <c r="P20" s="90">
        <v>4</v>
      </c>
      <c r="Q20" s="12">
        <v>0</v>
      </c>
      <c r="R20" s="12">
        <v>6</v>
      </c>
      <c r="S20" s="12">
        <v>3</v>
      </c>
      <c r="T20" s="90">
        <v>3</v>
      </c>
      <c r="U20" s="90">
        <v>13</v>
      </c>
      <c r="V20" s="90">
        <v>6</v>
      </c>
    </row>
    <row r="21" spans="1:22" ht="15" customHeight="1">
      <c r="A21" s="87" t="s">
        <v>146</v>
      </c>
      <c r="B21" s="82" t="s">
        <v>124</v>
      </c>
      <c r="C21" s="73">
        <v>0.124</v>
      </c>
      <c r="D21" s="85" t="s">
        <v>139</v>
      </c>
      <c r="E21" s="83" t="s">
        <v>144</v>
      </c>
      <c r="F21" s="6"/>
      <c r="G21" t="s">
        <v>135</v>
      </c>
      <c r="H21" t="s">
        <v>135</v>
      </c>
      <c r="I21" t="s">
        <v>135</v>
      </c>
      <c r="K21" s="12">
        <v>3.72</v>
      </c>
      <c r="L21" s="12">
        <v>11.78</v>
      </c>
      <c r="M21" s="12">
        <v>6.2</v>
      </c>
      <c r="N21" s="90">
        <v>0.34100000000000003</v>
      </c>
      <c r="O21" s="90">
        <v>1.86</v>
      </c>
      <c r="P21" s="90">
        <v>14.26</v>
      </c>
      <c r="Q21" s="12">
        <v>29.76</v>
      </c>
      <c r="R21" s="12">
        <v>3.1</v>
      </c>
      <c r="S21" s="12">
        <v>3.1</v>
      </c>
      <c r="T21" s="90">
        <v>7.44</v>
      </c>
      <c r="U21" s="90">
        <v>14.88</v>
      </c>
      <c r="V21" s="90">
        <v>1.24</v>
      </c>
    </row>
    <row r="22" spans="1:22" ht="15" customHeight="1">
      <c r="A22" s="75" t="s">
        <v>138</v>
      </c>
      <c r="B22" s="82" t="s">
        <v>89</v>
      </c>
      <c r="C22" s="73">
        <v>9.1999999999999998E-2</v>
      </c>
      <c r="D22" s="74" t="s">
        <v>200</v>
      </c>
      <c r="E22" s="75" t="s">
        <v>145</v>
      </c>
      <c r="F22" s="6"/>
      <c r="G22" t="s">
        <v>135</v>
      </c>
      <c r="H22" t="s">
        <v>135</v>
      </c>
      <c r="I22" t="s">
        <v>135</v>
      </c>
      <c r="K22" s="12">
        <v>0</v>
      </c>
      <c r="L22" s="12">
        <v>0.91999999999999993</v>
      </c>
      <c r="M22" s="12">
        <v>1.3800000000000001</v>
      </c>
      <c r="N22" s="90">
        <v>2.3E-2</v>
      </c>
      <c r="O22" s="90">
        <v>0</v>
      </c>
      <c r="P22" s="90">
        <v>0</v>
      </c>
      <c r="Q22" s="12">
        <v>0</v>
      </c>
      <c r="R22" s="12">
        <v>0</v>
      </c>
      <c r="S22" s="12">
        <v>0</v>
      </c>
      <c r="T22" s="90">
        <v>0</v>
      </c>
      <c r="U22" s="90">
        <v>0</v>
      </c>
      <c r="V22" s="90">
        <v>0</v>
      </c>
    </row>
    <row r="23" spans="1:22">
      <c r="A23" s="75"/>
      <c r="B23" s="82"/>
      <c r="C23" s="73"/>
      <c r="D23" s="74"/>
      <c r="E23" s="75"/>
      <c r="F23" s="6"/>
      <c r="I23"/>
      <c r="K23" s="12"/>
      <c r="L23" s="12"/>
      <c r="M23" s="12"/>
      <c r="N23" s="90"/>
      <c r="O23" s="90"/>
      <c r="P23" s="90"/>
      <c r="Q23" s="12"/>
      <c r="R23" s="12"/>
      <c r="S23" s="12"/>
      <c r="T23" s="90"/>
      <c r="U23" s="90"/>
      <c r="V23" s="90"/>
    </row>
    <row r="24" spans="1:22">
      <c r="J24" s="15"/>
      <c r="K24" s="9"/>
      <c r="L24" s="9"/>
      <c r="M24" s="9"/>
      <c r="N24" s="9"/>
      <c r="O24" s="9"/>
      <c r="P24" s="9"/>
      <c r="Q24" s="9"/>
      <c r="R24" s="9"/>
      <c r="S24" s="9"/>
      <c r="T24" s="9"/>
    </row>
    <row r="25" spans="1:22">
      <c r="A25" s="222"/>
      <c r="B25" s="223" t="s">
        <v>280</v>
      </c>
      <c r="C25" s="224"/>
      <c r="D25" s="225"/>
      <c r="E25" s="226"/>
      <c r="F25" s="227"/>
      <c r="G25" s="222"/>
      <c r="H25" s="222"/>
      <c r="I25" s="224"/>
      <c r="J25" s="226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2"/>
      <c r="V25" s="222"/>
    </row>
    <row r="26" spans="1:22">
      <c r="G26" t="s">
        <v>306</v>
      </c>
      <c r="J26" s="2"/>
      <c r="K26" s="10"/>
      <c r="L26" s="10"/>
      <c r="M26" s="10"/>
      <c r="N26" s="10"/>
      <c r="O26" s="10"/>
      <c r="P26" s="10"/>
      <c r="Q26" s="10"/>
      <c r="R26" s="10"/>
      <c r="S26" s="10"/>
      <c r="T26" s="10"/>
    </row>
    <row r="27" spans="1:22">
      <c r="J27" s="15" t="s">
        <v>8</v>
      </c>
      <c r="N27" s="56"/>
      <c r="O27" s="56"/>
      <c r="P27" s="56"/>
      <c r="T27" s="56"/>
      <c r="U27" s="56"/>
      <c r="V27" s="56"/>
    </row>
    <row r="28" spans="1:22">
      <c r="J28" s="57" t="s">
        <v>43</v>
      </c>
      <c r="K28" s="58"/>
      <c r="L28" s="58"/>
      <c r="M28" s="58"/>
      <c r="N28" s="59"/>
      <c r="O28" s="59"/>
      <c r="P28" s="59"/>
      <c r="Q28" s="58"/>
      <c r="R28" s="58"/>
      <c r="S28" s="58"/>
      <c r="T28" s="59"/>
      <c r="U28" s="59"/>
      <c r="V28" s="59"/>
    </row>
    <row r="29" spans="1:22">
      <c r="J29" s="4" t="s">
        <v>89</v>
      </c>
      <c r="K29" s="61">
        <f>SUMIF($B:$B,"VlnitaLepenka",$K:$K)</f>
        <v>73.071583333333336</v>
      </c>
      <c r="L29" s="61">
        <f>SUMIF($B:$B,"VlnitaLepenka",$L:$L)</f>
        <v>99.108416666666656</v>
      </c>
      <c r="M29" s="61">
        <f>SUMIF($B:$B,"VlnitaLepenka",$M:$M)</f>
        <v>93.067833333333326</v>
      </c>
      <c r="N29" s="60">
        <f>SUMIF($B:$B,"VlnitaLepenka",$N:$N)</f>
        <v>4.85975</v>
      </c>
      <c r="O29" s="60">
        <f>SUMIF($B:$B,"VlnitaLepenka",$O:$O)</f>
        <v>68.564374999999998</v>
      </c>
      <c r="P29" s="60">
        <f>SUMIF($B:$B,"VlnitaLepenka",$P:$P)</f>
        <v>63.666249999999998</v>
      </c>
      <c r="Q29" s="61">
        <f>SUMIF($B:$B,"VlnitaLepenka",$Q:$Q)</f>
        <v>74.828333333333333</v>
      </c>
      <c r="R29" s="61">
        <f>SUMIF($B:$B,"VlnitaLepenka",$R:$R)</f>
        <v>52.581666666666678</v>
      </c>
      <c r="S29" s="61">
        <f>SUMIF($B:$B,"VlnitaLepenka",$S:$S)</f>
        <v>9.2866666666666671</v>
      </c>
      <c r="T29" s="60">
        <f>SUMIF($B:$B,"VlnitaLepenka",$T:$T)</f>
        <v>74.44316666666667</v>
      </c>
      <c r="U29" s="60">
        <f>SUMIF($B:$B,"VlnitaLepenka",$U:$U)</f>
        <v>49.439625000000007</v>
      </c>
      <c r="V29" s="60">
        <f>SUMIF($B:$B,"VlnitaLepenka",$V:$V)</f>
        <v>83.726749999999996</v>
      </c>
    </row>
    <row r="30" spans="1:22">
      <c r="J30" s="4" t="s">
        <v>147</v>
      </c>
      <c r="K30" s="61">
        <f>SUMIF($B:$B,"Jine",$K:$K)</f>
        <v>10.584399999999999</v>
      </c>
      <c r="L30" s="61">
        <f>SUMIF($B:$B,"Jine",$L:$L)</f>
        <v>4.9939999999999998</v>
      </c>
      <c r="M30" s="61">
        <f>SUMIF($B:$B,"Jine",$M:$M)</f>
        <v>5.8593999999999999</v>
      </c>
      <c r="N30" s="60">
        <f>SUMIF($B:$B,"Jine",$N:$N)</f>
        <v>0.23622000000000001</v>
      </c>
      <c r="O30" s="60">
        <f>SUMIF($B:$B,"Jine",$O:$O)</f>
        <v>5.9718999999999998</v>
      </c>
      <c r="P30" s="60">
        <f>SUMIF($B:$B,"Jine",$P:$P)</f>
        <v>6.1132619999999998</v>
      </c>
      <c r="Q30" s="61">
        <f>SUMIF($B:$B,"Jine",$Q:$Q)</f>
        <v>5.637999999999999</v>
      </c>
      <c r="R30" s="61">
        <f>SUMIF($B:$B,"Jine",$R:$R)</f>
        <v>4.6407500000000006</v>
      </c>
      <c r="S30" s="61">
        <f>SUMIF($B:$B,"Jine",$S:$S)</f>
        <v>5.8670499999999999</v>
      </c>
      <c r="T30" s="60">
        <f>SUMIF($B:$B,"Jine",$T:$T)</f>
        <v>11.26164</v>
      </c>
      <c r="U30" s="60">
        <f>SUMIF($B:$B,"Jine",$U:$U)</f>
        <v>2.287515</v>
      </c>
      <c r="V30" s="60">
        <f>SUMIF($B:$B,"Jine",$V:$V)</f>
        <v>2.7413149999999997</v>
      </c>
    </row>
    <row r="31" spans="1:22">
      <c r="J31" s="4" t="s">
        <v>99</v>
      </c>
      <c r="K31" s="61">
        <f>SUMIF($B:$B,"Papir",$K:$K)</f>
        <v>5.0667999999999997</v>
      </c>
      <c r="L31" s="61">
        <f>SUMIF($B:$B,"Papir",$L:$L)</f>
        <v>7.0834999999999999</v>
      </c>
      <c r="M31" s="61">
        <f>SUMIF($B:$B,"Papir",$M:$M)</f>
        <v>0.1002</v>
      </c>
      <c r="N31" s="60">
        <f>SUMIF($B:$B,"Papir",$N:$N)</f>
        <v>0.27708750000000004</v>
      </c>
      <c r="O31" s="60">
        <f>SUMIF($B:$B,"Papir",$O:$O)</f>
        <v>2.59185</v>
      </c>
      <c r="P31" s="60">
        <f>SUMIF($B:$B,"Papir",$P:$P)</f>
        <v>5.8450000000000002E-2</v>
      </c>
      <c r="Q31" s="61">
        <f>SUMIF($B:$B,"Papir",$Q:$Q)</f>
        <v>5.0751499999999998</v>
      </c>
      <c r="R31" s="61">
        <f>SUMIF($B:$B,"Papir",$R:$R)</f>
        <v>5.8450000000000002E-2</v>
      </c>
      <c r="S31" s="61">
        <f>SUMIF($B:$B,"Papir",$S:$S)</f>
        <v>2.6586500000000002</v>
      </c>
      <c r="T31" s="60">
        <f>SUMIF($B:$B,"Papir",$T:$T)</f>
        <v>6.5584499999999997</v>
      </c>
      <c r="U31" s="62">
        <f>SUMIF($B:$B,"Papir",$U:$U)</f>
        <v>2.0751499999999998</v>
      </c>
      <c r="V31" s="60">
        <f>SUMIF($B:$B,"Papir",$V:$V)</f>
        <v>2.0333999999999999</v>
      </c>
    </row>
    <row r="32" spans="1:22">
      <c r="J32" s="4" t="s">
        <v>102</v>
      </c>
      <c r="K32" s="61">
        <f>SUMIF($B:$B,"PE",$K:$K)</f>
        <v>13.34145</v>
      </c>
      <c r="L32" s="61">
        <f>SUMIF($B:$B,"PE",$L:$L)</f>
        <v>11.706900000000001</v>
      </c>
      <c r="M32" s="61">
        <f>SUMIF($B:$B,"PE",$M:$M)</f>
        <v>11.295999999999999</v>
      </c>
      <c r="N32" s="60">
        <f>SUMIF($B:$B,"PE",$N:$N)</f>
        <v>0.27020749999999999</v>
      </c>
      <c r="O32" s="60">
        <f>SUMIF($B:$B,"PE",$O:$O)</f>
        <v>12.177949999999999</v>
      </c>
      <c r="P32" s="60">
        <f>SUMIF($B:$B,"PE",$P:$P)</f>
        <v>6.6993999999999998</v>
      </c>
      <c r="Q32" s="61">
        <f>SUMIF($B:$B,"PE",$Q:$Q)</f>
        <v>1.9992000000000001</v>
      </c>
      <c r="R32" s="61">
        <f>SUMIF($B:$B,"PE",$R:$R)</f>
        <v>2.4419000000000004</v>
      </c>
      <c r="S32" s="61">
        <f>SUMIF($B:$B,"PE",$S:$S)</f>
        <v>6.7610000000000001</v>
      </c>
      <c r="T32" s="60">
        <f>SUMIF($B:$B,"PE",$T:$T)</f>
        <v>12.45335</v>
      </c>
      <c r="U32" s="62">
        <f>SUMIF($B:$B,"PE",$U:$U)</f>
        <v>9.5709999999999997</v>
      </c>
      <c r="V32" s="60">
        <f>SUMIF($B:$B,"PE",$V:$V)</f>
        <v>4.5839999999999996</v>
      </c>
    </row>
    <row r="33" spans="10:22">
      <c r="J33" s="4" t="s">
        <v>121</v>
      </c>
      <c r="K33" s="61">
        <f>SUMIF($B:$B,"PP",$K:$K)</f>
        <v>2</v>
      </c>
      <c r="L33" s="61">
        <f>SUMIF($B:$B,"PP",$L:$L)</f>
        <v>6</v>
      </c>
      <c r="M33" s="61">
        <f>SUMIF($B:$B,"PP",$M:$M)</f>
        <v>5</v>
      </c>
      <c r="N33" s="60">
        <f>SUMIF($B:$B,"PP",$N:$N)</f>
        <v>0.35</v>
      </c>
      <c r="O33" s="60">
        <f>SUMIF($B:$B,"PP",$O:$O)</f>
        <v>2</v>
      </c>
      <c r="P33" s="60">
        <f>SUMIF($B:$B,"PP",$P:$P)</f>
        <v>4</v>
      </c>
      <c r="Q33" s="61">
        <f>SUMIF($B:$B,"PP",$Q:$Q)</f>
        <v>0</v>
      </c>
      <c r="R33" s="61">
        <f>SUMIF($B:$B,"PP",$R:$R)</f>
        <v>6</v>
      </c>
      <c r="S33" s="61">
        <f>SUMIF($B:$B,"PP",$S:$S)</f>
        <v>3</v>
      </c>
      <c r="T33" s="60">
        <f>SUMIF($B:$B,"PP",$T:$T)</f>
        <v>3</v>
      </c>
      <c r="U33" s="62">
        <f>SUMIF($B:$B,"PP",$U:$U)</f>
        <v>13</v>
      </c>
      <c r="V33" s="60">
        <f>SUMIF($B:$B,"PP",$V:$V)</f>
        <v>6</v>
      </c>
    </row>
    <row r="34" spans="10:22">
      <c r="J34" s="4" t="s">
        <v>125</v>
      </c>
      <c r="K34" s="61">
        <f>SUMIF($B:$B,"Drevo",$K:$K)</f>
        <v>0</v>
      </c>
      <c r="L34" s="61">
        <f>SUMIF($B:$B,"Drevo",$L:$L)</f>
        <v>0</v>
      </c>
      <c r="M34" s="61">
        <f>SUMIF($B:$B,"Drevo",$M:$M)</f>
        <v>0</v>
      </c>
      <c r="N34" s="60">
        <f>SUMIF($B:$B,"Drevo",$N:$N)</f>
        <v>0</v>
      </c>
      <c r="O34" s="60">
        <f>SUMIF($B:$B,"Drevo",$O:$O)</f>
        <v>0</v>
      </c>
      <c r="P34" s="60">
        <f>SUMIF($B:$B,"Drevo",$P:$P)</f>
        <v>0</v>
      </c>
      <c r="Q34" s="61">
        <f>SUMIF($B:$B,"Drevo",$Q:$Q)</f>
        <v>0</v>
      </c>
      <c r="R34" s="61">
        <f>SUMIF($B:$B,"Drevo",$R:$R)</f>
        <v>0</v>
      </c>
      <c r="S34" s="61">
        <f>SUMIF($B:$B,"Drevo",$S:$S)</f>
        <v>0</v>
      </c>
      <c r="T34" s="60">
        <f>SUMIF($B:$B,"Drevo",$T:$T)</f>
        <v>0</v>
      </c>
      <c r="U34" s="60">
        <f>SUMIF($B:$B,"Drevo",$U:$U)</f>
        <v>0</v>
      </c>
      <c r="V34" s="60">
        <f>SUMIF($B:$B,"Drevo",$V:$V)</f>
        <v>0</v>
      </c>
    </row>
    <row r="35" spans="10:22">
      <c r="J35" s="8" t="s">
        <v>126</v>
      </c>
      <c r="K35" s="64">
        <f t="shared" ref="K35:V35" si="0">SUM(K29:K34)</f>
        <v>104.06423333333333</v>
      </c>
      <c r="L35" s="64">
        <f t="shared" si="0"/>
        <v>128.89281666666665</v>
      </c>
      <c r="M35" s="64">
        <f t="shared" si="0"/>
        <v>115.32343333333333</v>
      </c>
      <c r="N35" s="63">
        <f t="shared" si="0"/>
        <v>5.9932650000000001</v>
      </c>
      <c r="O35" s="63">
        <f t="shared" si="0"/>
        <v>91.306074999999993</v>
      </c>
      <c r="P35" s="63">
        <f t="shared" si="0"/>
        <v>80.537361999999987</v>
      </c>
      <c r="Q35" s="64">
        <f t="shared" si="0"/>
        <v>87.540683333333334</v>
      </c>
      <c r="R35" s="64">
        <f t="shared" si="0"/>
        <v>65.722766666666672</v>
      </c>
      <c r="S35" s="64">
        <f t="shared" si="0"/>
        <v>27.573366666666669</v>
      </c>
      <c r="T35" s="63">
        <f t="shared" si="0"/>
        <v>107.71660666666666</v>
      </c>
      <c r="U35" s="63">
        <f t="shared" si="0"/>
        <v>76.373289999999997</v>
      </c>
      <c r="V35" s="63">
        <f t="shared" si="0"/>
        <v>99.085464999999999</v>
      </c>
    </row>
    <row r="36" spans="10:22" ht="15" thickBot="1">
      <c r="J36" s="8"/>
      <c r="N36" s="56"/>
      <c r="O36" s="56"/>
      <c r="P36" s="56"/>
      <c r="T36" s="56"/>
      <c r="U36" s="56"/>
      <c r="V36" s="56"/>
    </row>
    <row r="37" spans="10:22" ht="15" thickBot="1">
      <c r="J37" s="65" t="s">
        <v>303</v>
      </c>
      <c r="N37" s="56"/>
      <c r="O37" s="56"/>
      <c r="P37" s="56"/>
      <c r="T37" s="56"/>
      <c r="U37" s="56"/>
      <c r="V37" s="56"/>
    </row>
    <row r="38" spans="10:22" ht="15" thickBot="1">
      <c r="J38" s="66" t="s">
        <v>127</v>
      </c>
      <c r="K38" s="67" t="s">
        <v>132</v>
      </c>
      <c r="L38" s="68"/>
      <c r="M38" s="69"/>
      <c r="N38" s="67" t="s">
        <v>377</v>
      </c>
      <c r="O38" s="68"/>
      <c r="P38" s="69"/>
      <c r="Q38" s="67" t="s">
        <v>378</v>
      </c>
      <c r="R38" s="68"/>
      <c r="S38" s="69"/>
      <c r="T38" s="67" t="s">
        <v>379</v>
      </c>
      <c r="U38" s="68"/>
      <c r="V38" s="69"/>
    </row>
    <row r="39" spans="10:22">
      <c r="J39" s="200" t="s">
        <v>89</v>
      </c>
      <c r="K39" s="201">
        <f>SUM(K29:M29)/1000</f>
        <v>0.26524783333333335</v>
      </c>
      <c r="L39" s="202"/>
      <c r="M39" s="203"/>
      <c r="N39" s="201">
        <f>SUM(N29:P29)/1000</f>
        <v>0.13709037499999999</v>
      </c>
      <c r="O39" s="202"/>
      <c r="P39" s="203"/>
      <c r="Q39" s="201">
        <f>SUM(Q29:S29)/1000</f>
        <v>0.13669666666666669</v>
      </c>
      <c r="R39" s="202"/>
      <c r="S39" s="203"/>
      <c r="T39" s="201">
        <f>SUM(T29:V29)/1000</f>
        <v>0.20760954166666667</v>
      </c>
      <c r="U39" s="202"/>
      <c r="V39" s="203"/>
    </row>
    <row r="40" spans="10:22">
      <c r="J40" s="4" t="s">
        <v>147</v>
      </c>
      <c r="K40" s="204">
        <f t="shared" ref="K40:K44" si="1">SUM(K30:M30)/1000</f>
        <v>2.14378E-2</v>
      </c>
      <c r="L40" s="205"/>
      <c r="M40" s="206"/>
      <c r="N40" s="204">
        <f t="shared" ref="N40:N44" si="2">SUM(N30:P30)/1000</f>
        <v>1.2321382000000001E-2</v>
      </c>
      <c r="O40" s="205"/>
      <c r="P40" s="206"/>
      <c r="Q40" s="204">
        <f t="shared" ref="Q40:Q44" si="3">SUM(Q30:S30)/1000</f>
        <v>1.6145799999999998E-2</v>
      </c>
      <c r="R40" s="205"/>
      <c r="S40" s="206"/>
      <c r="T40" s="204">
        <f t="shared" ref="T40:T44" si="4">SUM(T30:V30)/1000</f>
        <v>1.6290469999999998E-2</v>
      </c>
      <c r="U40" s="205"/>
      <c r="V40" s="206"/>
    </row>
    <row r="41" spans="10:22">
      <c r="J41" s="4" t="s">
        <v>99</v>
      </c>
      <c r="K41" s="204">
        <f t="shared" si="1"/>
        <v>1.2250499999999999E-2</v>
      </c>
      <c r="L41" s="205"/>
      <c r="M41" s="206"/>
      <c r="N41" s="204">
        <f t="shared" si="2"/>
        <v>2.9273875000000002E-3</v>
      </c>
      <c r="O41" s="205"/>
      <c r="P41" s="206"/>
      <c r="Q41" s="204">
        <f t="shared" si="3"/>
        <v>7.7922499999999988E-3</v>
      </c>
      <c r="R41" s="205"/>
      <c r="S41" s="206"/>
      <c r="T41" s="204">
        <f t="shared" si="4"/>
        <v>1.0666999999999999E-2</v>
      </c>
      <c r="U41" s="205"/>
      <c r="V41" s="206"/>
    </row>
    <row r="42" spans="10:22">
      <c r="J42" s="4" t="s">
        <v>102</v>
      </c>
      <c r="K42" s="204">
        <f t="shared" si="1"/>
        <v>3.6344349999999997E-2</v>
      </c>
      <c r="L42" s="205"/>
      <c r="M42" s="206"/>
      <c r="N42" s="204">
        <f t="shared" si="2"/>
        <v>1.9147557499999999E-2</v>
      </c>
      <c r="O42" s="205"/>
      <c r="P42" s="206"/>
      <c r="Q42" s="204">
        <f t="shared" si="3"/>
        <v>1.1202100000000001E-2</v>
      </c>
      <c r="R42" s="205"/>
      <c r="S42" s="206"/>
      <c r="T42" s="204">
        <f t="shared" si="4"/>
        <v>2.6608349999999999E-2</v>
      </c>
      <c r="U42" s="205"/>
      <c r="V42" s="206"/>
    </row>
    <row r="43" spans="10:22">
      <c r="J43" s="4" t="s">
        <v>121</v>
      </c>
      <c r="K43" s="204">
        <f t="shared" si="1"/>
        <v>1.2999999999999999E-2</v>
      </c>
      <c r="L43" s="205"/>
      <c r="M43" s="206"/>
      <c r="N43" s="204">
        <f t="shared" si="2"/>
        <v>6.3499999999999997E-3</v>
      </c>
      <c r="O43" s="205"/>
      <c r="P43" s="206"/>
      <c r="Q43" s="204">
        <f t="shared" si="3"/>
        <v>8.9999999999999993E-3</v>
      </c>
      <c r="R43" s="205"/>
      <c r="S43" s="206"/>
      <c r="T43" s="204">
        <f t="shared" si="4"/>
        <v>2.1999999999999999E-2</v>
      </c>
      <c r="U43" s="205"/>
      <c r="V43" s="206"/>
    </row>
    <row r="44" spans="10:22">
      <c r="J44" s="4" t="s">
        <v>125</v>
      </c>
      <c r="K44" s="204">
        <f t="shared" si="1"/>
        <v>0</v>
      </c>
      <c r="L44" s="205"/>
      <c r="M44" s="206"/>
      <c r="N44" s="204">
        <f t="shared" si="2"/>
        <v>0</v>
      </c>
      <c r="O44" s="205"/>
      <c r="P44" s="206"/>
      <c r="Q44" s="204">
        <f t="shared" si="3"/>
        <v>0</v>
      </c>
      <c r="R44" s="205"/>
      <c r="S44" s="206"/>
      <c r="T44" s="204">
        <f t="shared" si="4"/>
        <v>0</v>
      </c>
      <c r="U44" s="205"/>
      <c r="V44" s="206"/>
    </row>
    <row r="46" spans="10:22" ht="15" thickBot="1"/>
    <row r="47" spans="10:22" ht="15" thickBot="1">
      <c r="J47" s="67" t="s">
        <v>127</v>
      </c>
      <c r="K47" s="4">
        <v>2022</v>
      </c>
    </row>
    <row r="48" spans="10:22">
      <c r="J48" s="207" t="s">
        <v>89</v>
      </c>
      <c r="K48" s="185">
        <f>K39+N39+Q39+T39</f>
        <v>0.7466444166666667</v>
      </c>
    </row>
    <row r="49" spans="10:20">
      <c r="J49" s="208" t="s">
        <v>147</v>
      </c>
      <c r="K49" s="185">
        <f t="shared" ref="K49:K53" si="5">K40+N40+Q40+T40</f>
        <v>6.6195452000000002E-2</v>
      </c>
    </row>
    <row r="50" spans="10:20">
      <c r="J50" s="208" t="s">
        <v>99</v>
      </c>
      <c r="K50" s="185">
        <f t="shared" si="5"/>
        <v>3.3637137499999997E-2</v>
      </c>
    </row>
    <row r="51" spans="10:20">
      <c r="J51" s="208" t="s">
        <v>102</v>
      </c>
      <c r="K51" s="185">
        <f t="shared" si="5"/>
        <v>9.3302357500000002E-2</v>
      </c>
    </row>
    <row r="52" spans="10:20">
      <c r="J52" s="208" t="s">
        <v>121</v>
      </c>
      <c r="K52" s="185">
        <f t="shared" si="5"/>
        <v>5.0349999999999999E-2</v>
      </c>
    </row>
    <row r="53" spans="10:20">
      <c r="J53" s="208" t="s">
        <v>125</v>
      </c>
      <c r="K53" s="185">
        <f t="shared" si="5"/>
        <v>0</v>
      </c>
    </row>
    <row r="55" spans="10:20" ht="15" thickBot="1"/>
    <row r="56" spans="10:20" ht="18">
      <c r="J56" s="197" t="s">
        <v>127</v>
      </c>
      <c r="K56" s="4">
        <v>2022</v>
      </c>
      <c r="L56" s="198" t="s">
        <v>152</v>
      </c>
      <c r="M56" s="2" t="s">
        <v>153</v>
      </c>
      <c r="N56" s="2" t="s">
        <v>149</v>
      </c>
      <c r="O56" s="2" t="s">
        <v>150</v>
      </c>
      <c r="P56" s="2" t="s">
        <v>148</v>
      </c>
      <c r="Q56" s="198" t="s">
        <v>201</v>
      </c>
      <c r="T56" s="361" t="s">
        <v>281</v>
      </c>
    </row>
    <row r="57" spans="10:20" ht="18">
      <c r="J57" s="209" t="s">
        <v>89</v>
      </c>
      <c r="L57" s="199">
        <f>K48*Zeme21!C17</f>
        <v>0.31647617304838233</v>
      </c>
      <c r="M57" s="12">
        <f>K48*Zeme21!C18</f>
        <v>0.15513537894528545</v>
      </c>
      <c r="N57" s="12">
        <f>K48*Zeme21!C19</f>
        <v>0.17951379563668746</v>
      </c>
      <c r="O57" s="12">
        <f>K48*Zeme21!C20</f>
        <v>7.335687204412783E-2</v>
      </c>
      <c r="P57" s="12">
        <f>K48*Zeme21!C21</f>
        <v>2.2162196992183636E-2</v>
      </c>
      <c r="Q57" s="199">
        <f>M57+N57+O57+P57</f>
        <v>0.43016824361828437</v>
      </c>
    </row>
    <row r="58" spans="10:20" ht="18">
      <c r="J58" s="4" t="s">
        <v>207</v>
      </c>
      <c r="L58" s="199">
        <f>K49*Zeme21!C18</f>
        <v>1.3753878420896409E-2</v>
      </c>
      <c r="M58" s="12">
        <f>K49*Zeme21!C19</f>
        <v>1.5915202172751559E-2</v>
      </c>
      <c r="N58" s="12">
        <f>K49*Zeme21!C20</f>
        <v>6.5036196533095874E-3</v>
      </c>
      <c r="O58" s="12">
        <f>K49*Zeme21!C21</f>
        <v>1.9648397744137726E-3</v>
      </c>
      <c r="P58" s="12">
        <f>K49*Zeme21!C22</f>
        <v>2.665433116246499E-3</v>
      </c>
      <c r="Q58" s="199">
        <f t="shared" ref="Q58:Q62" si="6">M58+N58+O58+P58</f>
        <v>2.7049094716721421E-2</v>
      </c>
    </row>
    <row r="59" spans="10:20" ht="18">
      <c r="J59" s="209" t="s">
        <v>99</v>
      </c>
      <c r="L59" s="199">
        <f>K50*Zeme21!C19</f>
        <v>8.0872904051647373E-3</v>
      </c>
      <c r="M59" s="12">
        <f>K50*Zeme21!C20</f>
        <v>3.3048063260611455E-3</v>
      </c>
      <c r="N59" s="12">
        <f>K50*Zeme21!C21</f>
        <v>9.9843091421786875E-4</v>
      </c>
      <c r="O59" s="12">
        <f>K50*Zeme21!C22</f>
        <v>1.3544365589985995E-3</v>
      </c>
      <c r="P59" s="12">
        <f>K50*Zeme21!C23</f>
        <v>0</v>
      </c>
      <c r="Q59" s="199">
        <f t="shared" si="6"/>
        <v>5.6576737992776139E-3</v>
      </c>
    </row>
    <row r="60" spans="10:20" ht="18">
      <c r="J60" s="70" t="s">
        <v>102</v>
      </c>
      <c r="L60" s="199">
        <f>K51*Zeme21!C20</f>
        <v>9.1668389232709997E-3</v>
      </c>
      <c r="M60" s="12">
        <f>K51*Zeme21!C21</f>
        <v>2.7694377411694865E-3</v>
      </c>
      <c r="N60" s="12">
        <f>K51*Zeme21!C22</f>
        <v>3.7569226584383756E-3</v>
      </c>
      <c r="O60" s="12">
        <f>K51*Zeme21!C23</f>
        <v>0</v>
      </c>
      <c r="P60" s="12">
        <f>K51*Zeme21!C24</f>
        <v>0</v>
      </c>
      <c r="Q60" s="199">
        <f t="shared" si="6"/>
        <v>6.5263603996078626E-3</v>
      </c>
    </row>
    <row r="61" spans="10:20" ht="18">
      <c r="J61" s="70" t="s">
        <v>121</v>
      </c>
      <c r="L61" s="199">
        <f>K52*Zeme21!C21</f>
        <v>1.4945087563075098E-3</v>
      </c>
      <c r="M61" s="12">
        <f>K52*Zeme21!C22</f>
        <v>2.0273984593837534E-3</v>
      </c>
      <c r="N61" s="12">
        <f>K52*Zeme21!C23</f>
        <v>0</v>
      </c>
      <c r="O61" s="12">
        <f>K52*Zeme21!C24</f>
        <v>0</v>
      </c>
      <c r="P61" s="12">
        <f>K52*Zeme21!C25</f>
        <v>0</v>
      </c>
      <c r="Q61" s="199">
        <f t="shared" si="6"/>
        <v>2.0273984593837534E-3</v>
      </c>
    </row>
    <row r="62" spans="10:20" ht="18">
      <c r="J62" s="210" t="s">
        <v>125</v>
      </c>
      <c r="L62" s="199">
        <f>K53*Zeme21!C22</f>
        <v>0</v>
      </c>
      <c r="M62" s="12">
        <f>K53*Zeme21!C23</f>
        <v>0</v>
      </c>
      <c r="N62" s="12">
        <f>K53*Zeme21!C24</f>
        <v>0</v>
      </c>
      <c r="O62" s="12">
        <f>K53*Zeme21!C25</f>
        <v>0</v>
      </c>
      <c r="P62" s="12">
        <f>K53*Zeme21!C26</f>
        <v>0</v>
      </c>
      <c r="Q62" s="199">
        <f t="shared" si="6"/>
        <v>0</v>
      </c>
    </row>
    <row r="63" spans="10:20" ht="15" thickBot="1"/>
    <row r="64" spans="10:20" ht="15" thickBot="1">
      <c r="J64" s="197" t="s">
        <v>127</v>
      </c>
    </row>
    <row r="65" spans="10:20">
      <c r="J65" s="242" t="s">
        <v>99</v>
      </c>
      <c r="K65" s="242"/>
      <c r="L65" s="243">
        <f>L57+L58+L59</f>
        <v>0.33831734187444351</v>
      </c>
      <c r="T65" s="247">
        <f>L65*1000</f>
        <v>338.31734187444351</v>
      </c>
    </row>
    <row r="66" spans="10:20" ht="15" thickBot="1">
      <c r="J66" s="244" t="s">
        <v>174</v>
      </c>
      <c r="K66" s="244"/>
      <c r="L66" s="245">
        <f>L60+L61</f>
        <v>1.066134767957851E-2</v>
      </c>
      <c r="T66" s="248">
        <f>L66*1000</f>
        <v>10.66134767957851</v>
      </c>
    </row>
    <row r="67" spans="10:20" ht="15" thickBot="1">
      <c r="J67" s="271" t="s">
        <v>213</v>
      </c>
      <c r="K67" s="271"/>
      <c r="L67" s="360">
        <f>L62</f>
        <v>0</v>
      </c>
      <c r="T67" s="272">
        <f>L67*1000</f>
        <v>0</v>
      </c>
    </row>
  </sheetData>
  <autoFilter ref="B1:B43" xr:uid="{00000000-0009-0000-0000-000009000000}"/>
  <conditionalFormatting sqref="G1:I1 H2:I2 G3:I24 H25:I25 G26:I1048576">
    <cfRule type="cellIs" dxfId="3" priority="1" operator="equal">
      <formula>FALSE</formula>
    </cfRule>
    <cfRule type="cellIs" dxfId="2" priority="2" operator="equal">
      <formula>TRUE</formula>
    </cfRule>
  </conditionalFormatting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2476F-B087-483A-A6C5-CEEB621897D3}">
  <sheetPr>
    <tabColor rgb="FFFFC000"/>
  </sheetPr>
  <dimension ref="A1:V67"/>
  <sheetViews>
    <sheetView topLeftCell="A6" zoomScale="80" zoomScaleNormal="80" workbookViewId="0">
      <selection activeCell="G35" sqref="G35"/>
    </sheetView>
  </sheetViews>
  <sheetFormatPr defaultColWidth="8.88671875" defaultRowHeight="14.4"/>
  <cols>
    <col min="1" max="1" width="25" customWidth="1"/>
    <col min="2" max="2" width="17.5546875" style="5" customWidth="1"/>
    <col min="3" max="3" width="8" style="2" customWidth="1"/>
    <col min="4" max="4" width="46.33203125" style="8" customWidth="1"/>
    <col min="5" max="5" width="21.33203125" style="15" customWidth="1"/>
    <col min="6" max="6" width="8.88671875" style="16"/>
    <col min="9" max="9" width="11.109375" style="2" customWidth="1"/>
    <col min="10" max="10" width="13.33203125" customWidth="1"/>
    <col min="11" max="11" width="11.44140625" bestFit="1" customWidth="1"/>
    <col min="12" max="12" width="13.5546875" bestFit="1" customWidth="1"/>
    <col min="13" max="18" width="10.33203125" bestFit="1" customWidth="1"/>
    <col min="19" max="19" width="9.33203125" bestFit="1" customWidth="1"/>
    <col min="20" max="22" width="10.33203125" bestFit="1" customWidth="1"/>
  </cols>
  <sheetData>
    <row r="1" spans="1:22" ht="18">
      <c r="A1" s="229" t="s">
        <v>211</v>
      </c>
      <c r="B1" s="230" t="s">
        <v>69</v>
      </c>
      <c r="C1" s="230" t="s">
        <v>70</v>
      </c>
      <c r="D1" s="365" t="s">
        <v>212</v>
      </c>
      <c r="E1" s="366" t="s">
        <v>305</v>
      </c>
      <c r="F1" s="231"/>
      <c r="G1" s="88" t="s">
        <v>304</v>
      </c>
      <c r="H1" s="89"/>
      <c r="I1" s="88"/>
      <c r="J1" s="3"/>
      <c r="K1" s="3"/>
      <c r="O1" t="s">
        <v>329</v>
      </c>
    </row>
    <row r="2" spans="1:22" ht="15" customHeight="1">
      <c r="A2" s="77" t="s">
        <v>71</v>
      </c>
      <c r="B2" s="76" t="s">
        <v>72</v>
      </c>
      <c r="C2" s="76"/>
      <c r="D2" s="78" t="s">
        <v>73</v>
      </c>
      <c r="E2" s="79" t="s">
        <v>74</v>
      </c>
      <c r="F2" s="80"/>
      <c r="J2" s="3"/>
      <c r="K2" s="388" t="s">
        <v>362</v>
      </c>
      <c r="L2" s="388" t="s">
        <v>363</v>
      </c>
      <c r="M2" s="388" t="s">
        <v>352</v>
      </c>
      <c r="N2" s="388" t="s">
        <v>364</v>
      </c>
      <c r="O2" s="388" t="s">
        <v>365</v>
      </c>
      <c r="P2" s="388" t="s">
        <v>366</v>
      </c>
      <c r="Q2" s="388" t="s">
        <v>367</v>
      </c>
      <c r="R2" s="388" t="s">
        <v>368</v>
      </c>
      <c r="S2" s="388" t="s">
        <v>369</v>
      </c>
      <c r="T2" s="388" t="s">
        <v>370</v>
      </c>
      <c r="U2" s="388" t="s">
        <v>371</v>
      </c>
      <c r="V2" s="388" t="s">
        <v>372</v>
      </c>
    </row>
    <row r="3" spans="1:22" ht="15" customHeight="1">
      <c r="A3" s="81" t="s">
        <v>137</v>
      </c>
      <c r="B3" s="82" t="s">
        <v>89</v>
      </c>
      <c r="C3" s="73">
        <v>0.08</v>
      </c>
      <c r="D3" s="74" t="s">
        <v>199</v>
      </c>
      <c r="E3" s="83" t="s">
        <v>90</v>
      </c>
      <c r="F3" s="6"/>
      <c r="G3" t="s">
        <v>135</v>
      </c>
      <c r="H3" t="s">
        <v>135</v>
      </c>
      <c r="I3" t="s">
        <v>135</v>
      </c>
      <c r="J3" s="8"/>
      <c r="K3" s="12">
        <v>2.2400000000000002</v>
      </c>
      <c r="L3" s="12">
        <v>0.8</v>
      </c>
      <c r="M3" s="12">
        <v>4</v>
      </c>
      <c r="N3" s="90">
        <v>1.1000000000000001E-2</v>
      </c>
      <c r="O3" s="90">
        <v>0.48</v>
      </c>
      <c r="P3" s="90">
        <v>4.96</v>
      </c>
      <c r="Q3" s="12">
        <v>5.04</v>
      </c>
      <c r="R3" s="12">
        <v>3.5</v>
      </c>
      <c r="S3" s="12">
        <v>4.8800000000000008</v>
      </c>
      <c r="T3" s="90">
        <v>0</v>
      </c>
      <c r="U3" s="90">
        <v>5.04</v>
      </c>
      <c r="V3" s="90">
        <v>4.8</v>
      </c>
    </row>
    <row r="4" spans="1:22" ht="15" customHeight="1">
      <c r="A4" s="81"/>
      <c r="B4" s="82" t="s">
        <v>89</v>
      </c>
      <c r="C4" s="73">
        <v>0.09</v>
      </c>
      <c r="D4" s="74" t="s">
        <v>91</v>
      </c>
      <c r="E4" s="83" t="s">
        <v>140</v>
      </c>
      <c r="F4" s="6"/>
      <c r="G4" t="s">
        <v>135</v>
      </c>
      <c r="H4" t="s">
        <v>135</v>
      </c>
      <c r="I4" t="s">
        <v>135</v>
      </c>
      <c r="K4" s="12">
        <v>0.22500000000000001</v>
      </c>
      <c r="L4" s="12">
        <v>0</v>
      </c>
      <c r="M4" s="12">
        <v>0.22500000000000001</v>
      </c>
      <c r="N4" s="90">
        <v>0.22500000000000001</v>
      </c>
      <c r="O4" s="90">
        <v>0.45</v>
      </c>
      <c r="P4" s="90">
        <v>0</v>
      </c>
      <c r="Q4" s="12">
        <v>0</v>
      </c>
      <c r="R4" s="12">
        <v>0.09</v>
      </c>
      <c r="S4" s="12">
        <v>0</v>
      </c>
      <c r="T4" s="90">
        <v>4.4999999999999998E-2</v>
      </c>
      <c r="U4" s="90">
        <v>4.4999999999999998E-2</v>
      </c>
      <c r="V4" s="90">
        <v>0.26999999999999996</v>
      </c>
    </row>
    <row r="5" spans="1:22" ht="15" customHeight="1">
      <c r="A5" s="81"/>
      <c r="B5" s="82" t="s">
        <v>89</v>
      </c>
      <c r="C5" s="73">
        <v>0.23</v>
      </c>
      <c r="D5" s="74" t="s">
        <v>198</v>
      </c>
      <c r="E5" s="83" t="s">
        <v>141</v>
      </c>
      <c r="F5" s="6"/>
      <c r="G5" t="s">
        <v>135</v>
      </c>
      <c r="H5" t="b">
        <v>0</v>
      </c>
      <c r="I5" t="s">
        <v>135</v>
      </c>
      <c r="K5" s="12">
        <v>3.6799999999999997</v>
      </c>
      <c r="L5" s="12">
        <v>8.3949999999999996</v>
      </c>
      <c r="M5" s="12">
        <v>1.9550000000000001</v>
      </c>
      <c r="N5" s="90">
        <v>5.7499999999999996E-2</v>
      </c>
      <c r="O5" s="90">
        <v>2.2999999999999998</v>
      </c>
      <c r="P5" s="90">
        <v>4.5999999999999996</v>
      </c>
      <c r="Q5" s="12">
        <v>0.34500000000000003</v>
      </c>
      <c r="R5" s="12">
        <v>0.34500000000000003</v>
      </c>
      <c r="S5" s="12">
        <v>0.23000000000000004</v>
      </c>
      <c r="T5" s="90">
        <v>0.23000000000000004</v>
      </c>
      <c r="U5" s="90">
        <v>0.92000000000000015</v>
      </c>
      <c r="V5" s="90">
        <v>1.9550000000000001</v>
      </c>
    </row>
    <row r="6" spans="1:22" ht="15" customHeight="1">
      <c r="A6" s="81" t="s">
        <v>92</v>
      </c>
      <c r="B6" s="82" t="s">
        <v>89</v>
      </c>
      <c r="C6" s="73">
        <v>7.4999999999999997E-2</v>
      </c>
      <c r="D6" s="74" t="s">
        <v>197</v>
      </c>
      <c r="E6" s="83" t="s">
        <v>142</v>
      </c>
      <c r="F6" s="6"/>
      <c r="G6" t="s">
        <v>135</v>
      </c>
      <c r="H6" t="s">
        <v>135</v>
      </c>
      <c r="I6" t="s">
        <v>135</v>
      </c>
      <c r="K6" s="12">
        <v>23.875</v>
      </c>
      <c r="L6" s="12">
        <v>27.625</v>
      </c>
      <c r="M6" s="12">
        <v>28.006249999999998</v>
      </c>
      <c r="N6" s="90">
        <v>0.70624999999999993</v>
      </c>
      <c r="O6" s="90">
        <v>3.0543749999999998</v>
      </c>
      <c r="P6" s="90">
        <v>3.4375</v>
      </c>
      <c r="Q6" s="12">
        <v>2</v>
      </c>
      <c r="R6" s="12">
        <v>4</v>
      </c>
      <c r="S6" s="12">
        <v>0</v>
      </c>
      <c r="T6" s="90">
        <v>4.5</v>
      </c>
      <c r="U6" s="90">
        <v>28.5</v>
      </c>
      <c r="V6" s="90">
        <v>20.0625</v>
      </c>
    </row>
    <row r="7" spans="1:22" ht="15" customHeight="1">
      <c r="A7" s="81" t="s">
        <v>93</v>
      </c>
      <c r="B7" s="72" t="s">
        <v>147</v>
      </c>
      <c r="C7" s="73">
        <v>2.3E-2</v>
      </c>
      <c r="D7" s="74" t="s">
        <v>195</v>
      </c>
      <c r="E7" s="84" t="s">
        <v>143</v>
      </c>
      <c r="F7" s="6"/>
      <c r="G7" t="s">
        <v>135</v>
      </c>
      <c r="H7" t="s">
        <v>135</v>
      </c>
      <c r="I7" t="s">
        <v>135</v>
      </c>
      <c r="K7" s="12">
        <v>8.625</v>
      </c>
      <c r="L7" s="12">
        <v>4.5999999999999996</v>
      </c>
      <c r="M7" s="12">
        <v>4.83</v>
      </c>
      <c r="N7" s="90">
        <v>0.20125000000000001</v>
      </c>
      <c r="O7" s="90">
        <v>5.1749999999999998</v>
      </c>
      <c r="P7" s="90">
        <v>5.1749999999999998</v>
      </c>
      <c r="Q7" s="12">
        <v>5.1749999999999998</v>
      </c>
      <c r="R7" s="12">
        <v>3.7950000000000004</v>
      </c>
      <c r="S7" s="12">
        <v>5.52</v>
      </c>
      <c r="T7" s="90">
        <v>10.35</v>
      </c>
      <c r="U7" s="90">
        <v>1.7250000000000001</v>
      </c>
      <c r="V7" s="90">
        <v>1.7250000000000001</v>
      </c>
    </row>
    <row r="8" spans="1:22" ht="15" customHeight="1">
      <c r="A8" s="81" t="s">
        <v>136</v>
      </c>
      <c r="B8" s="82" t="s">
        <v>89</v>
      </c>
      <c r="C8" s="73">
        <v>0.19</v>
      </c>
      <c r="D8" s="74" t="s">
        <v>196</v>
      </c>
      <c r="E8" s="84" t="s">
        <v>94</v>
      </c>
      <c r="F8" s="6"/>
      <c r="G8" t="s">
        <v>135</v>
      </c>
      <c r="H8" t="s">
        <v>135</v>
      </c>
      <c r="I8" t="s">
        <v>135</v>
      </c>
      <c r="K8" s="12">
        <v>39.331583333333334</v>
      </c>
      <c r="L8" s="12">
        <v>49.58841666666666</v>
      </c>
      <c r="M8" s="12">
        <v>51.301583333333326</v>
      </c>
      <c r="N8" s="90">
        <v>3.496</v>
      </c>
      <c r="O8" s="90">
        <v>60.419999999999995</v>
      </c>
      <c r="P8" s="90">
        <v>36.408750000000005</v>
      </c>
      <c r="Q8" s="12">
        <v>37.68333333333333</v>
      </c>
      <c r="R8" s="12">
        <v>41.546666666666674</v>
      </c>
      <c r="S8" s="12">
        <v>1.0766666666666664</v>
      </c>
      <c r="T8" s="90">
        <v>62.228166666666674</v>
      </c>
      <c r="U8" s="90">
        <v>5.4625E-2</v>
      </c>
      <c r="V8" s="90">
        <v>55.399249999999995</v>
      </c>
    </row>
    <row r="9" spans="1:22" ht="15" customHeight="1">
      <c r="A9" s="81" t="s">
        <v>95</v>
      </c>
      <c r="B9" s="72" t="s">
        <v>147</v>
      </c>
      <c r="C9" s="73">
        <v>4.4999999999999997E-3</v>
      </c>
      <c r="D9" s="85" t="s">
        <v>96</v>
      </c>
      <c r="E9" s="84" t="s">
        <v>97</v>
      </c>
      <c r="F9" s="6"/>
      <c r="G9" t="s">
        <v>135</v>
      </c>
      <c r="H9" t="s">
        <v>135</v>
      </c>
      <c r="I9" t="s">
        <v>135</v>
      </c>
      <c r="K9" s="12">
        <v>1.9125000000000001</v>
      </c>
      <c r="L9" s="12">
        <v>0.33750000000000002</v>
      </c>
      <c r="M9" s="12">
        <v>1.0125</v>
      </c>
      <c r="N9" s="90">
        <v>3.3750000000000002E-2</v>
      </c>
      <c r="O9" s="90">
        <v>0.74249999999999994</v>
      </c>
      <c r="P9" s="90">
        <v>0.83249999999999991</v>
      </c>
      <c r="Q9" s="12">
        <v>0.26999999999999996</v>
      </c>
      <c r="R9" s="12">
        <v>0.80999999999999994</v>
      </c>
      <c r="S9" s="12">
        <v>0.315</v>
      </c>
      <c r="T9" s="90">
        <v>0.74249999999999994</v>
      </c>
      <c r="U9" s="90">
        <v>0.5625</v>
      </c>
      <c r="V9" s="90">
        <v>1.0125</v>
      </c>
    </row>
    <row r="10" spans="1:22" ht="15" customHeight="1">
      <c r="A10" s="81" t="s">
        <v>98</v>
      </c>
      <c r="B10" s="82" t="s">
        <v>99</v>
      </c>
      <c r="C10" s="73">
        <v>1.67E-2</v>
      </c>
      <c r="D10" s="85" t="s">
        <v>98</v>
      </c>
      <c r="E10" s="84" t="s">
        <v>100</v>
      </c>
      <c r="F10" s="6"/>
      <c r="G10" t="s">
        <v>135</v>
      </c>
      <c r="H10" t="s">
        <v>135</v>
      </c>
      <c r="I10" t="s">
        <v>135</v>
      </c>
      <c r="K10" s="12">
        <v>6.6799999999999998E-2</v>
      </c>
      <c r="L10" s="12">
        <v>8.3499999999999991E-2</v>
      </c>
      <c r="M10" s="12">
        <v>0.1002</v>
      </c>
      <c r="N10" s="90">
        <v>2.0874999999999999E-3</v>
      </c>
      <c r="O10" s="90">
        <v>9.1850000000000001E-2</v>
      </c>
      <c r="P10" s="90">
        <v>5.8450000000000002E-2</v>
      </c>
      <c r="Q10" s="12">
        <v>7.5149999999999995E-2</v>
      </c>
      <c r="R10" s="12">
        <v>5.8450000000000002E-2</v>
      </c>
      <c r="S10" s="12">
        <v>0.15865000000000001</v>
      </c>
      <c r="T10" s="90">
        <v>5.8450000000000002E-2</v>
      </c>
      <c r="U10" s="90">
        <v>7.5149999999999995E-2</v>
      </c>
      <c r="V10" s="90">
        <v>3.3399999999999999E-2</v>
      </c>
    </row>
    <row r="11" spans="1:22" ht="15" customHeight="1">
      <c r="A11" s="81" t="s">
        <v>101</v>
      </c>
      <c r="B11" s="82" t="s">
        <v>102</v>
      </c>
      <c r="C11" s="73">
        <v>0.114</v>
      </c>
      <c r="D11" s="74" t="s">
        <v>103</v>
      </c>
      <c r="E11" s="83" t="s">
        <v>104</v>
      </c>
      <c r="F11" s="6"/>
      <c r="G11" t="s">
        <v>135</v>
      </c>
      <c r="H11" t="s">
        <v>135</v>
      </c>
      <c r="I11" t="s">
        <v>135</v>
      </c>
      <c r="K11" s="12">
        <v>0.17099999999999999</v>
      </c>
      <c r="L11" s="12">
        <v>1.026</v>
      </c>
      <c r="M11" s="12">
        <v>0.57000000000000006</v>
      </c>
      <c r="N11" s="90">
        <v>1.311E-2</v>
      </c>
      <c r="O11" s="90">
        <v>1.083</v>
      </c>
      <c r="P11" s="90">
        <v>0.11400000000000002</v>
      </c>
      <c r="Q11" s="12">
        <v>0.39900000000000002</v>
      </c>
      <c r="R11" s="12">
        <v>0.85500000000000009</v>
      </c>
      <c r="S11" s="12">
        <v>0.627</v>
      </c>
      <c r="T11" s="90">
        <v>0.39900000000000002</v>
      </c>
      <c r="U11" s="90">
        <v>0.22800000000000004</v>
      </c>
      <c r="V11" s="90">
        <v>0.57000000000000006</v>
      </c>
    </row>
    <row r="12" spans="1:22" ht="15" customHeight="1">
      <c r="A12" s="81"/>
      <c r="B12" s="82" t="s">
        <v>102</v>
      </c>
      <c r="C12" s="73">
        <v>6.6000000000000003E-2</v>
      </c>
      <c r="D12" s="85" t="s">
        <v>134</v>
      </c>
      <c r="E12" s="83" t="s">
        <v>105</v>
      </c>
      <c r="F12" s="6"/>
      <c r="G12" t="s">
        <v>135</v>
      </c>
      <c r="H12" t="s">
        <v>135</v>
      </c>
      <c r="I12" t="s">
        <v>135</v>
      </c>
      <c r="K12" s="12">
        <v>4.9500000000000002E-2</v>
      </c>
      <c r="L12" s="12">
        <v>6.6000000000000003E-2</v>
      </c>
      <c r="M12" s="12">
        <v>3.3000000000000002E-2</v>
      </c>
      <c r="N12" s="90">
        <v>2.4750000000000001E-2</v>
      </c>
      <c r="O12" s="90">
        <v>0.16500000000000001</v>
      </c>
      <c r="P12" s="90">
        <v>9.9000000000000005E-2</v>
      </c>
      <c r="Q12" s="12">
        <v>3.3000000000000002E-2</v>
      </c>
      <c r="R12" s="12">
        <v>9.9000000000000005E-2</v>
      </c>
      <c r="S12" s="12">
        <v>9.9000000000000005E-2</v>
      </c>
      <c r="T12" s="90">
        <v>0.25740000000000002</v>
      </c>
      <c r="U12" s="90">
        <v>0.13200000000000001</v>
      </c>
      <c r="V12" s="90">
        <v>0.13200000000000001</v>
      </c>
    </row>
    <row r="13" spans="1:22" ht="15" customHeight="1">
      <c r="A13" s="81"/>
      <c r="B13" s="82" t="s">
        <v>102</v>
      </c>
      <c r="C13" s="73">
        <v>0.13900000000000001</v>
      </c>
      <c r="D13" s="85" t="s">
        <v>106</v>
      </c>
      <c r="E13" s="83" t="s">
        <v>107</v>
      </c>
      <c r="F13" s="6"/>
      <c r="G13" t="s">
        <v>135</v>
      </c>
      <c r="H13" t="s">
        <v>135</v>
      </c>
      <c r="I13" t="s">
        <v>135</v>
      </c>
      <c r="K13" s="12">
        <v>6.9500000000000004E-3</v>
      </c>
      <c r="L13" s="12">
        <v>1.3900000000000001E-2</v>
      </c>
      <c r="M13" s="12">
        <v>0</v>
      </c>
      <c r="N13" s="90">
        <v>3.4750000000000004E-4</v>
      </c>
      <c r="O13" s="90">
        <v>6.9500000000000004E-3</v>
      </c>
      <c r="P13" s="90">
        <v>8.3400000000000002E-2</v>
      </c>
      <c r="Q13" s="12">
        <v>0.11120000000000001</v>
      </c>
      <c r="R13" s="12">
        <v>1.3900000000000001E-2</v>
      </c>
      <c r="S13" s="12">
        <v>0</v>
      </c>
      <c r="T13" s="90">
        <v>6.9500000000000004E-3</v>
      </c>
      <c r="U13" s="90">
        <v>0</v>
      </c>
      <c r="V13" s="90">
        <v>0</v>
      </c>
    </row>
    <row r="14" spans="1:22" ht="15" customHeight="1">
      <c r="A14" s="81" t="s">
        <v>108</v>
      </c>
      <c r="B14" s="82" t="s">
        <v>102</v>
      </c>
      <c r="C14" s="73">
        <v>1.58</v>
      </c>
      <c r="D14" s="86" t="s">
        <v>109</v>
      </c>
      <c r="E14" s="83" t="s">
        <v>110</v>
      </c>
      <c r="F14" s="6"/>
      <c r="G14" t="s">
        <v>135</v>
      </c>
      <c r="H14" t="s">
        <v>135</v>
      </c>
      <c r="I14" t="s">
        <v>135</v>
      </c>
      <c r="K14" s="12">
        <v>0.47400000000000003</v>
      </c>
      <c r="L14" s="12">
        <v>0.71100000000000008</v>
      </c>
      <c r="M14" s="12">
        <v>0.55300000000000005</v>
      </c>
      <c r="N14" s="90">
        <v>3.95E-2</v>
      </c>
      <c r="O14" s="90">
        <v>2.923</v>
      </c>
      <c r="P14" s="90">
        <v>0.55300000000000005</v>
      </c>
      <c r="Q14" s="12">
        <v>0.316</v>
      </c>
      <c r="R14" s="12">
        <v>0.47400000000000003</v>
      </c>
      <c r="S14" s="12">
        <v>0.39500000000000002</v>
      </c>
      <c r="T14" s="90">
        <v>0.79</v>
      </c>
      <c r="U14" s="90">
        <v>0.71100000000000008</v>
      </c>
      <c r="V14" s="90">
        <v>0.63200000000000001</v>
      </c>
    </row>
    <row r="15" spans="1:22" ht="15" customHeight="1">
      <c r="A15" s="81"/>
      <c r="B15" s="82" t="s">
        <v>102</v>
      </c>
      <c r="C15" s="73">
        <v>2.8</v>
      </c>
      <c r="D15" s="74" t="s">
        <v>112</v>
      </c>
      <c r="E15" s="83" t="s">
        <v>111</v>
      </c>
      <c r="F15" s="6"/>
      <c r="G15" t="s">
        <v>135</v>
      </c>
      <c r="H15" t="s">
        <v>135</v>
      </c>
      <c r="I15" t="s">
        <v>135</v>
      </c>
      <c r="K15" s="12">
        <v>0.13999999999999999</v>
      </c>
      <c r="L15" s="12">
        <v>0.13999999999999999</v>
      </c>
      <c r="M15" s="12">
        <v>0.13999999999999999</v>
      </c>
      <c r="N15" s="90">
        <v>1.7499999999999998E-2</v>
      </c>
      <c r="O15" s="90">
        <v>0</v>
      </c>
      <c r="P15" s="90">
        <v>0</v>
      </c>
      <c r="Q15" s="12">
        <v>0.13999999999999999</v>
      </c>
      <c r="R15" s="12">
        <v>0</v>
      </c>
      <c r="S15" s="12">
        <v>0.13999999999999999</v>
      </c>
      <c r="T15" s="90">
        <v>0</v>
      </c>
      <c r="U15" s="90">
        <v>0</v>
      </c>
      <c r="V15" s="90">
        <v>0</v>
      </c>
    </row>
    <row r="16" spans="1:22" ht="15" customHeight="1">
      <c r="A16" s="81"/>
      <c r="B16" s="72" t="s">
        <v>147</v>
      </c>
      <c r="C16" s="73">
        <v>3.8000000000000002E-4</v>
      </c>
      <c r="D16" s="85" t="s">
        <v>113</v>
      </c>
      <c r="E16" s="83" t="s">
        <v>114</v>
      </c>
      <c r="F16" s="6"/>
      <c r="G16" t="s">
        <v>135</v>
      </c>
      <c r="H16" t="b">
        <v>0</v>
      </c>
      <c r="I16" t="s">
        <v>135</v>
      </c>
      <c r="K16" s="12">
        <v>1.9E-3</v>
      </c>
      <c r="L16" s="12">
        <v>1.9E-2</v>
      </c>
      <c r="M16" s="12">
        <v>1.9E-3</v>
      </c>
      <c r="N16" s="90">
        <v>9.5000000000000005E-5</v>
      </c>
      <c r="O16" s="90">
        <v>1.9E-3</v>
      </c>
      <c r="P16" s="90">
        <v>6.0762000000000004E-2</v>
      </c>
      <c r="Q16" s="12">
        <v>0.13300000000000001</v>
      </c>
      <c r="R16" s="12">
        <v>9.4999999999999998E-3</v>
      </c>
      <c r="S16" s="12">
        <v>1.3300000000000001E-2</v>
      </c>
      <c r="T16" s="90">
        <v>3.4200000000000001E-2</v>
      </c>
      <c r="U16" s="90">
        <v>0</v>
      </c>
      <c r="V16" s="90">
        <v>3.8E-3</v>
      </c>
    </row>
    <row r="17" spans="1:22" ht="15" customHeight="1">
      <c r="A17" s="81"/>
      <c r="B17" s="72" t="s">
        <v>147</v>
      </c>
      <c r="C17" s="73">
        <v>1.4999999999999999E-4</v>
      </c>
      <c r="D17" s="74" t="s">
        <v>115</v>
      </c>
      <c r="E17" s="83" t="s">
        <v>116</v>
      </c>
      <c r="F17" s="6"/>
      <c r="G17" t="s">
        <v>135</v>
      </c>
      <c r="H17" t="s">
        <v>135</v>
      </c>
      <c r="I17" t="s">
        <v>135</v>
      </c>
      <c r="K17" s="12">
        <v>4.4999999999999998E-2</v>
      </c>
      <c r="L17" s="12">
        <v>3.7499999999999999E-2</v>
      </c>
      <c r="M17" s="12">
        <v>1.4999999999999999E-2</v>
      </c>
      <c r="N17" s="90">
        <v>1.1249999999999999E-3</v>
      </c>
      <c r="O17" s="90">
        <v>5.2499999999999991E-2</v>
      </c>
      <c r="P17" s="90">
        <v>4.4999999999999998E-2</v>
      </c>
      <c r="Q17" s="12">
        <v>0.06</v>
      </c>
      <c r="R17" s="12">
        <v>2.6249999999999996E-2</v>
      </c>
      <c r="S17" s="12">
        <v>1.8749999999999996E-2</v>
      </c>
      <c r="T17" s="90">
        <v>0.13494</v>
      </c>
      <c r="U17" s="90">
        <v>1.4999999999999999E-5</v>
      </c>
      <c r="V17" s="90">
        <v>1.4999999999999999E-5</v>
      </c>
    </row>
    <row r="18" spans="1:22" ht="15" customHeight="1">
      <c r="A18" s="81"/>
      <c r="B18" s="82" t="s">
        <v>99</v>
      </c>
      <c r="C18" s="73">
        <v>10</v>
      </c>
      <c r="D18" s="74" t="s">
        <v>133</v>
      </c>
      <c r="E18" s="83" t="s">
        <v>117</v>
      </c>
      <c r="F18" s="6"/>
      <c r="G18" t="s">
        <v>135</v>
      </c>
      <c r="H18" t="b">
        <v>0</v>
      </c>
      <c r="I18" t="s">
        <v>135</v>
      </c>
      <c r="K18" s="12">
        <v>5</v>
      </c>
      <c r="L18" s="12">
        <v>7</v>
      </c>
      <c r="M18" s="12">
        <v>0</v>
      </c>
      <c r="N18" s="90">
        <v>0.27500000000000002</v>
      </c>
      <c r="O18" s="90">
        <v>2.5</v>
      </c>
      <c r="P18" s="90">
        <v>0</v>
      </c>
      <c r="Q18" s="12">
        <v>5</v>
      </c>
      <c r="R18" s="12">
        <v>0</v>
      </c>
      <c r="S18" s="12">
        <v>2.5</v>
      </c>
      <c r="T18" s="90">
        <v>6.5</v>
      </c>
      <c r="U18" s="90">
        <v>2</v>
      </c>
      <c r="V18" s="90">
        <v>2</v>
      </c>
    </row>
    <row r="19" spans="1:22" ht="15" customHeight="1">
      <c r="A19" s="81"/>
      <c r="B19" s="82" t="s">
        <v>102</v>
      </c>
      <c r="C19" s="73">
        <v>5.0000000000000001E-3</v>
      </c>
      <c r="D19" s="74" t="s">
        <v>118</v>
      </c>
      <c r="E19" s="84" t="s">
        <v>119</v>
      </c>
      <c r="F19" s="6"/>
      <c r="G19" t="s">
        <v>135</v>
      </c>
      <c r="H19" t="s">
        <v>135</v>
      </c>
      <c r="I19" t="s">
        <v>135</v>
      </c>
      <c r="K19" s="12">
        <v>12.5</v>
      </c>
      <c r="L19" s="12">
        <v>9.75</v>
      </c>
      <c r="M19" s="12">
        <v>10</v>
      </c>
      <c r="N19" s="90">
        <v>0.17499999999999999</v>
      </c>
      <c r="O19" s="90">
        <v>8</v>
      </c>
      <c r="P19" s="90">
        <v>5.85</v>
      </c>
      <c r="Q19" s="12">
        <v>1</v>
      </c>
      <c r="R19" s="12">
        <v>1</v>
      </c>
      <c r="S19" s="12">
        <v>5.5</v>
      </c>
      <c r="T19" s="90">
        <v>11</v>
      </c>
      <c r="U19" s="90">
        <v>8.5</v>
      </c>
      <c r="V19" s="90">
        <v>3.25</v>
      </c>
    </row>
    <row r="20" spans="1:22" ht="15" customHeight="1">
      <c r="A20" s="81" t="s">
        <v>120</v>
      </c>
      <c r="B20" s="82" t="s">
        <v>121</v>
      </c>
      <c r="C20" s="73">
        <v>10</v>
      </c>
      <c r="D20" s="74" t="s">
        <v>122</v>
      </c>
      <c r="E20" s="83" t="s">
        <v>123</v>
      </c>
      <c r="F20" s="6"/>
      <c r="G20" t="s">
        <v>135</v>
      </c>
      <c r="H20" t="s">
        <v>135</v>
      </c>
      <c r="I20" t="s">
        <v>135</v>
      </c>
      <c r="K20" s="12">
        <v>2</v>
      </c>
      <c r="L20" s="12">
        <v>6</v>
      </c>
      <c r="M20" s="12">
        <v>5</v>
      </c>
      <c r="N20" s="90">
        <v>0.35</v>
      </c>
      <c r="O20" s="90">
        <v>2</v>
      </c>
      <c r="P20" s="90">
        <v>4</v>
      </c>
      <c r="Q20" s="12">
        <v>0</v>
      </c>
      <c r="R20" s="12">
        <v>6</v>
      </c>
      <c r="S20" s="12">
        <v>3</v>
      </c>
      <c r="T20" s="90">
        <v>3</v>
      </c>
      <c r="U20" s="90">
        <v>13</v>
      </c>
      <c r="V20" s="90">
        <v>6</v>
      </c>
    </row>
    <row r="21" spans="1:22" ht="15" customHeight="1">
      <c r="A21" s="87"/>
      <c r="B21" s="82"/>
      <c r="C21" s="73"/>
      <c r="D21" s="85"/>
      <c r="E21" s="83"/>
      <c r="F21" s="6"/>
      <c r="I21"/>
      <c r="K21" s="12"/>
      <c r="L21" s="12"/>
      <c r="M21" s="12"/>
      <c r="N21" s="90"/>
      <c r="O21" s="90"/>
      <c r="P21" s="90"/>
      <c r="Q21" s="12"/>
      <c r="R21" s="12"/>
      <c r="S21" s="12"/>
      <c r="T21" s="90"/>
      <c r="U21" s="90"/>
      <c r="V21" s="90"/>
    </row>
    <row r="22" spans="1:22" ht="15" customHeight="1">
      <c r="A22" s="75"/>
      <c r="B22" s="82"/>
      <c r="C22" s="73"/>
      <c r="D22" s="74"/>
      <c r="E22" s="75"/>
      <c r="F22" s="6"/>
      <c r="I22"/>
      <c r="K22" s="12"/>
      <c r="L22" s="12"/>
      <c r="M22" s="12"/>
      <c r="N22" s="90"/>
      <c r="O22" s="90"/>
      <c r="P22" s="90"/>
      <c r="Q22" s="12"/>
      <c r="R22" s="12"/>
      <c r="S22" s="12"/>
      <c r="T22" s="90"/>
      <c r="U22" s="90"/>
      <c r="V22" s="90"/>
    </row>
    <row r="23" spans="1:22">
      <c r="A23" s="75"/>
      <c r="B23" s="82"/>
      <c r="C23" s="73"/>
      <c r="D23" s="74"/>
      <c r="E23" s="75"/>
      <c r="F23" s="6"/>
      <c r="I23"/>
      <c r="K23" s="12"/>
      <c r="L23" s="12"/>
      <c r="M23" s="12"/>
      <c r="N23" s="90"/>
      <c r="O23" s="90"/>
      <c r="P23" s="90"/>
      <c r="Q23" s="12"/>
      <c r="R23" s="12"/>
      <c r="S23" s="12"/>
      <c r="T23" s="90"/>
      <c r="U23" s="90"/>
      <c r="V23" s="90"/>
    </row>
    <row r="24" spans="1:22">
      <c r="J24" s="15"/>
      <c r="K24" s="9"/>
      <c r="L24" s="9"/>
      <c r="M24" s="9"/>
      <c r="N24" s="9"/>
      <c r="O24" s="9"/>
      <c r="P24" s="9"/>
      <c r="Q24" s="9"/>
      <c r="R24" s="9"/>
      <c r="S24" s="9"/>
      <c r="T24" s="9"/>
    </row>
    <row r="25" spans="1:22">
      <c r="A25" s="222"/>
      <c r="B25" s="223" t="s">
        <v>280</v>
      </c>
      <c r="C25" s="224"/>
      <c r="D25" s="225"/>
      <c r="E25" s="226"/>
      <c r="F25" s="227"/>
      <c r="G25" s="222"/>
      <c r="H25" s="222"/>
      <c r="I25" s="224"/>
      <c r="J25" s="226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2"/>
      <c r="V25" s="222"/>
    </row>
    <row r="26" spans="1:22">
      <c r="G26" t="s">
        <v>306</v>
      </c>
      <c r="J26" s="2"/>
      <c r="K26" s="10"/>
      <c r="L26" s="10"/>
      <c r="M26" s="10"/>
      <c r="N26" s="10"/>
      <c r="O26" s="10"/>
      <c r="P26" s="10"/>
      <c r="Q26" s="10"/>
      <c r="R26" s="10"/>
      <c r="S26" s="10"/>
      <c r="T26" s="10"/>
    </row>
    <row r="27" spans="1:22">
      <c r="J27" s="15" t="s">
        <v>8</v>
      </c>
      <c r="N27" s="56"/>
      <c r="O27" s="56"/>
      <c r="P27" s="56"/>
      <c r="T27" s="56"/>
      <c r="U27" s="56"/>
      <c r="V27" s="56"/>
    </row>
    <row r="28" spans="1:22">
      <c r="J28" s="57" t="s">
        <v>43</v>
      </c>
      <c r="K28" s="58"/>
      <c r="L28" s="58"/>
      <c r="M28" s="58"/>
      <c r="N28" s="59"/>
      <c r="O28" s="59"/>
      <c r="P28" s="59"/>
      <c r="Q28" s="58"/>
      <c r="R28" s="58"/>
      <c r="S28" s="58"/>
      <c r="T28" s="59"/>
      <c r="U28" s="59"/>
      <c r="V28" s="59"/>
    </row>
    <row r="29" spans="1:22">
      <c r="J29" s="4" t="s">
        <v>89</v>
      </c>
      <c r="K29" s="61">
        <f>SUMIF($B:$B,"VlnitaLepenka",$K:$K)</f>
        <v>69.351583333333338</v>
      </c>
      <c r="L29" s="61">
        <f>SUMIF($B:$B,"VlnitaLepenka",$L:$L)</f>
        <v>86.408416666666653</v>
      </c>
      <c r="M29" s="61">
        <f>SUMIF($B:$B,"VlnitaLepenka",$M:$M)</f>
        <v>85.487833333333327</v>
      </c>
      <c r="N29" s="60">
        <f>SUMIF($B:$B,"VlnitaLepenka",$N:$N)</f>
        <v>4.4957500000000001</v>
      </c>
      <c r="O29" s="60">
        <f>SUMIF($B:$B,"VlnitaLepenka",$O:$O)</f>
        <v>66.704374999999999</v>
      </c>
      <c r="P29" s="60">
        <f>SUMIF($B:$B,"VlnitaLepenka",$P:$P)</f>
        <v>49.40625</v>
      </c>
      <c r="Q29" s="61">
        <f>SUMIF($B:$B,"VlnitaLepenka",$Q:$Q)</f>
        <v>45.068333333333328</v>
      </c>
      <c r="R29" s="61">
        <f>SUMIF($B:$B,"VlnitaLepenka",$R:$R)</f>
        <v>49.481666666666676</v>
      </c>
      <c r="S29" s="61">
        <f>SUMIF($B:$B,"VlnitaLepenka",$S:$S)</f>
        <v>6.1866666666666674</v>
      </c>
      <c r="T29" s="60">
        <f>SUMIF($B:$B,"VlnitaLepenka",$T:$T)</f>
        <v>67.003166666666672</v>
      </c>
      <c r="U29" s="60">
        <f>SUMIF($B:$B,"VlnitaLepenka",$U:$U)</f>
        <v>34.559625000000004</v>
      </c>
      <c r="V29" s="60">
        <f>SUMIF($B:$B,"VlnitaLepenka",$V:$V)</f>
        <v>82.486750000000001</v>
      </c>
    </row>
    <row r="30" spans="1:22">
      <c r="J30" s="4" t="s">
        <v>147</v>
      </c>
      <c r="K30" s="61">
        <f>SUMIF($B:$B,"Jine",$K:$K)</f>
        <v>10.584399999999999</v>
      </c>
      <c r="L30" s="61">
        <f>SUMIF($B:$B,"Jine",$L:$L)</f>
        <v>4.9939999999999998</v>
      </c>
      <c r="M30" s="61">
        <f>SUMIF($B:$B,"Jine",$M:$M)</f>
        <v>5.8593999999999999</v>
      </c>
      <c r="N30" s="60">
        <f>SUMIF($B:$B,"Jine",$N:$N)</f>
        <v>0.23622000000000001</v>
      </c>
      <c r="O30" s="60">
        <f>SUMIF($B:$B,"Jine",$O:$O)</f>
        <v>5.9718999999999998</v>
      </c>
      <c r="P30" s="60">
        <f>SUMIF($B:$B,"Jine",$P:$P)</f>
        <v>6.1132619999999998</v>
      </c>
      <c r="Q30" s="61">
        <f>SUMIF($B:$B,"Jine",$Q:$Q)</f>
        <v>5.637999999999999</v>
      </c>
      <c r="R30" s="61">
        <f>SUMIF($B:$B,"Jine",$R:$R)</f>
        <v>4.6407500000000006</v>
      </c>
      <c r="S30" s="61">
        <f>SUMIF($B:$B,"Jine",$S:$S)</f>
        <v>5.8670499999999999</v>
      </c>
      <c r="T30" s="60">
        <f>SUMIF($B:$B,"Jine",$T:$T)</f>
        <v>11.26164</v>
      </c>
      <c r="U30" s="60">
        <f>SUMIF($B:$B,"Jine",$U:$U)</f>
        <v>2.287515</v>
      </c>
      <c r="V30" s="60">
        <f>SUMIF($B:$B,"Jine",$V:$V)</f>
        <v>2.7413149999999997</v>
      </c>
    </row>
    <row r="31" spans="1:22">
      <c r="J31" s="4" t="s">
        <v>99</v>
      </c>
      <c r="K31" s="61">
        <f>SUMIF($B:$B,"Papir",$K:$K)</f>
        <v>5.0667999999999997</v>
      </c>
      <c r="L31" s="61">
        <f>SUMIF($B:$B,"Papir",$L:$L)</f>
        <v>7.0834999999999999</v>
      </c>
      <c r="M31" s="61">
        <f>SUMIF($B:$B,"Papir",$M:$M)</f>
        <v>0.1002</v>
      </c>
      <c r="N31" s="60">
        <f>SUMIF($B:$B,"Papir",$N:$N)</f>
        <v>0.27708750000000004</v>
      </c>
      <c r="O31" s="60">
        <f>SUMIF($B:$B,"Papir",$O:$O)</f>
        <v>2.59185</v>
      </c>
      <c r="P31" s="60">
        <f>SUMIF($B:$B,"Papir",$P:$P)</f>
        <v>5.8450000000000002E-2</v>
      </c>
      <c r="Q31" s="61">
        <f>SUMIF($B:$B,"Papir",$Q:$Q)</f>
        <v>5.0751499999999998</v>
      </c>
      <c r="R31" s="61">
        <f>SUMIF($B:$B,"Papir",$R:$R)</f>
        <v>5.8450000000000002E-2</v>
      </c>
      <c r="S31" s="61">
        <f>SUMIF($B:$B,"Papir",$S:$S)</f>
        <v>2.6586500000000002</v>
      </c>
      <c r="T31" s="60">
        <f>SUMIF($B:$B,"Papir",$T:$T)</f>
        <v>6.5584499999999997</v>
      </c>
      <c r="U31" s="62">
        <f>SUMIF($B:$B,"Papir",$U:$U)</f>
        <v>2.0751499999999998</v>
      </c>
      <c r="V31" s="60">
        <f>SUMIF($B:$B,"Papir",$V:$V)</f>
        <v>2.0333999999999999</v>
      </c>
    </row>
    <row r="32" spans="1:22">
      <c r="J32" s="4" t="s">
        <v>102</v>
      </c>
      <c r="K32" s="61">
        <f>SUMIF($B:$B,"PE",$K:$K)</f>
        <v>13.34145</v>
      </c>
      <c r="L32" s="61">
        <f>SUMIF($B:$B,"PE",$L:$L)</f>
        <v>11.706900000000001</v>
      </c>
      <c r="M32" s="61">
        <f>SUMIF($B:$B,"PE",$M:$M)</f>
        <v>11.295999999999999</v>
      </c>
      <c r="N32" s="60">
        <f>SUMIF($B:$B,"PE",$N:$N)</f>
        <v>0.27020749999999999</v>
      </c>
      <c r="O32" s="60">
        <f>SUMIF($B:$B,"PE",$O:$O)</f>
        <v>12.177949999999999</v>
      </c>
      <c r="P32" s="60">
        <f>SUMIF($B:$B,"PE",$P:$P)</f>
        <v>6.6993999999999998</v>
      </c>
      <c r="Q32" s="61">
        <f>SUMIF($B:$B,"PE",$Q:$Q)</f>
        <v>1.9992000000000001</v>
      </c>
      <c r="R32" s="61">
        <f>SUMIF($B:$B,"PE",$R:$R)</f>
        <v>2.4419000000000004</v>
      </c>
      <c r="S32" s="61">
        <f>SUMIF($B:$B,"PE",$S:$S)</f>
        <v>6.7610000000000001</v>
      </c>
      <c r="T32" s="60">
        <f>SUMIF($B:$B,"PE",$T:$T)</f>
        <v>12.45335</v>
      </c>
      <c r="U32" s="62">
        <f>SUMIF($B:$B,"PE",$U:$U)</f>
        <v>9.5709999999999997</v>
      </c>
      <c r="V32" s="60">
        <f>SUMIF($B:$B,"PE",$V:$V)</f>
        <v>4.5839999999999996</v>
      </c>
    </row>
    <row r="33" spans="10:22">
      <c r="J33" s="4" t="s">
        <v>121</v>
      </c>
      <c r="K33" s="61">
        <f>SUMIF($B:$B,"PP",$K:$K)</f>
        <v>2</v>
      </c>
      <c r="L33" s="61">
        <f>SUMIF($B:$B,"PP",$L:$L)</f>
        <v>6</v>
      </c>
      <c r="M33" s="61">
        <f>SUMIF($B:$B,"PP",$M:$M)</f>
        <v>5</v>
      </c>
      <c r="N33" s="60">
        <f>SUMIF($B:$B,"PP",$N:$N)</f>
        <v>0.35</v>
      </c>
      <c r="O33" s="60">
        <f>SUMIF($B:$B,"PP",$O:$O)</f>
        <v>2</v>
      </c>
      <c r="P33" s="60">
        <f>SUMIF($B:$B,"PP",$P:$P)</f>
        <v>4</v>
      </c>
      <c r="Q33" s="61">
        <f>SUMIF($B:$B,"PP",$Q:$Q)</f>
        <v>0</v>
      </c>
      <c r="R33" s="61">
        <f>SUMIF($B:$B,"PP",$R:$R)</f>
        <v>6</v>
      </c>
      <c r="S33" s="61">
        <f>SUMIF($B:$B,"PP",$S:$S)</f>
        <v>3</v>
      </c>
      <c r="T33" s="60">
        <f>SUMIF($B:$B,"PP",$T:$T)</f>
        <v>3</v>
      </c>
      <c r="U33" s="62">
        <f>SUMIF($B:$B,"PP",$U:$U)</f>
        <v>13</v>
      </c>
      <c r="V33" s="60">
        <f>SUMIF($B:$B,"PP",$V:$V)</f>
        <v>6</v>
      </c>
    </row>
    <row r="34" spans="10:22">
      <c r="J34" s="4" t="s">
        <v>125</v>
      </c>
      <c r="K34" s="61">
        <f>SUMIF($B:$B,"Drevo",$K:$K)</f>
        <v>0</v>
      </c>
      <c r="L34" s="61">
        <f>SUMIF($B:$B,"Drevo",$L:$L)</f>
        <v>0</v>
      </c>
      <c r="M34" s="61">
        <f>SUMIF($B:$B,"Drevo",$M:$M)</f>
        <v>0</v>
      </c>
      <c r="N34" s="60">
        <f>SUMIF($B:$B,"Drevo",$N:$N)</f>
        <v>0</v>
      </c>
      <c r="O34" s="60">
        <f>SUMIF($B:$B,"Drevo",$O:$O)</f>
        <v>0</v>
      </c>
      <c r="P34" s="60">
        <f>SUMIF($B:$B,"Drevo",$P:$P)</f>
        <v>0</v>
      </c>
      <c r="Q34" s="61">
        <f>SUMIF($B:$B,"Drevo",$Q:$Q)</f>
        <v>0</v>
      </c>
      <c r="R34" s="61">
        <f>SUMIF($B:$B,"Drevo",$R:$R)</f>
        <v>0</v>
      </c>
      <c r="S34" s="61">
        <f>SUMIF($B:$B,"Drevo",$S:$S)</f>
        <v>0</v>
      </c>
      <c r="T34" s="60">
        <f>SUMIF($B:$B,"Drevo",$T:$T)</f>
        <v>0</v>
      </c>
      <c r="U34" s="60">
        <f>SUMIF($B:$B,"Drevo",$U:$U)</f>
        <v>0</v>
      </c>
      <c r="V34" s="60">
        <f>SUMIF($B:$B,"Drevo",$V:$V)</f>
        <v>0</v>
      </c>
    </row>
    <row r="35" spans="10:22">
      <c r="J35" s="8" t="s">
        <v>126</v>
      </c>
      <c r="K35" s="64">
        <f t="shared" ref="K35:V35" si="0">SUM(K29:K34)</f>
        <v>100.34423333333334</v>
      </c>
      <c r="L35" s="64">
        <f t="shared" si="0"/>
        <v>116.19281666666666</v>
      </c>
      <c r="M35" s="64">
        <f t="shared" si="0"/>
        <v>107.74343333333331</v>
      </c>
      <c r="N35" s="63">
        <f t="shared" si="0"/>
        <v>5.6292650000000002</v>
      </c>
      <c r="O35" s="63">
        <f t="shared" si="0"/>
        <v>89.446074999999993</v>
      </c>
      <c r="P35" s="63">
        <f t="shared" si="0"/>
        <v>66.277361999999997</v>
      </c>
      <c r="Q35" s="64">
        <f t="shared" si="0"/>
        <v>57.780683333333329</v>
      </c>
      <c r="R35" s="64">
        <f t="shared" si="0"/>
        <v>62.622766666666678</v>
      </c>
      <c r="S35" s="64">
        <f t="shared" si="0"/>
        <v>24.473366666666667</v>
      </c>
      <c r="T35" s="63">
        <f t="shared" si="0"/>
        <v>100.27660666666667</v>
      </c>
      <c r="U35" s="63">
        <f t="shared" si="0"/>
        <v>61.493290000000002</v>
      </c>
      <c r="V35" s="63">
        <f t="shared" si="0"/>
        <v>97.845465000000004</v>
      </c>
    </row>
    <row r="36" spans="10:22" ht="15" thickBot="1">
      <c r="J36" s="8"/>
      <c r="N36" s="56"/>
      <c r="O36" s="56"/>
      <c r="P36" s="56"/>
      <c r="T36" s="56"/>
      <c r="U36" s="56"/>
      <c r="V36" s="56"/>
    </row>
    <row r="37" spans="10:22" ht="15" thickBot="1">
      <c r="J37" s="65" t="s">
        <v>303</v>
      </c>
      <c r="N37" s="56"/>
      <c r="O37" s="56"/>
      <c r="P37" s="56"/>
      <c r="T37" s="56"/>
      <c r="U37" s="56"/>
      <c r="V37" s="56"/>
    </row>
    <row r="38" spans="10:22" ht="15" thickBot="1">
      <c r="J38" s="66" t="s">
        <v>127</v>
      </c>
      <c r="K38" s="67" t="s">
        <v>373</v>
      </c>
      <c r="L38" s="68"/>
      <c r="M38" s="69"/>
      <c r="N38" s="67" t="s">
        <v>374</v>
      </c>
      <c r="O38" s="68"/>
      <c r="P38" s="69"/>
      <c r="Q38" s="67" t="s">
        <v>375</v>
      </c>
      <c r="R38" s="68"/>
      <c r="S38" s="69"/>
      <c r="T38" s="67" t="s">
        <v>376</v>
      </c>
      <c r="U38" s="68"/>
      <c r="V38" s="69"/>
    </row>
    <row r="39" spans="10:22">
      <c r="J39" s="200" t="s">
        <v>89</v>
      </c>
      <c r="K39" s="201">
        <f>SUM(K29:M29)/1000</f>
        <v>0.24124783333333333</v>
      </c>
      <c r="L39" s="202"/>
      <c r="M39" s="203"/>
      <c r="N39" s="201">
        <f>SUM(N29:P29)/1000</f>
        <v>0.120606375</v>
      </c>
      <c r="O39" s="202"/>
      <c r="P39" s="203"/>
      <c r="Q39" s="201">
        <f>SUM(Q29:S29)/1000</f>
        <v>0.10073666666666668</v>
      </c>
      <c r="R39" s="202"/>
      <c r="S39" s="203"/>
      <c r="T39" s="201">
        <f>SUM(T29:V29)/1000</f>
        <v>0.18404954166666668</v>
      </c>
      <c r="U39" s="202"/>
      <c r="V39" s="203"/>
    </row>
    <row r="40" spans="10:22">
      <c r="J40" s="4" t="s">
        <v>147</v>
      </c>
      <c r="K40" s="204">
        <f t="shared" ref="K40:K44" si="1">SUM(K30:M30)/1000</f>
        <v>2.14378E-2</v>
      </c>
      <c r="L40" s="205"/>
      <c r="M40" s="206"/>
      <c r="N40" s="204">
        <f t="shared" ref="N40:N44" si="2">SUM(N30:P30)/1000</f>
        <v>1.2321382000000001E-2</v>
      </c>
      <c r="O40" s="205"/>
      <c r="P40" s="206"/>
      <c r="Q40" s="204">
        <f t="shared" ref="Q40:Q44" si="3">SUM(Q30:S30)/1000</f>
        <v>1.6145799999999998E-2</v>
      </c>
      <c r="R40" s="205"/>
      <c r="S40" s="206"/>
      <c r="T40" s="204">
        <f t="shared" ref="T40:T44" si="4">SUM(T30:V30)/1000</f>
        <v>1.6290469999999998E-2</v>
      </c>
      <c r="U40" s="205"/>
      <c r="V40" s="206"/>
    </row>
    <row r="41" spans="10:22">
      <c r="J41" s="4" t="s">
        <v>99</v>
      </c>
      <c r="K41" s="204">
        <f t="shared" si="1"/>
        <v>1.2250499999999999E-2</v>
      </c>
      <c r="L41" s="205"/>
      <c r="M41" s="206"/>
      <c r="N41" s="204">
        <f t="shared" si="2"/>
        <v>2.9273875000000002E-3</v>
      </c>
      <c r="O41" s="205"/>
      <c r="P41" s="206"/>
      <c r="Q41" s="204">
        <f t="shared" si="3"/>
        <v>7.7922499999999988E-3</v>
      </c>
      <c r="R41" s="205"/>
      <c r="S41" s="206"/>
      <c r="T41" s="204">
        <f t="shared" si="4"/>
        <v>1.0666999999999999E-2</v>
      </c>
      <c r="U41" s="205"/>
      <c r="V41" s="206"/>
    </row>
    <row r="42" spans="10:22">
      <c r="J42" s="4" t="s">
        <v>102</v>
      </c>
      <c r="K42" s="204">
        <f t="shared" si="1"/>
        <v>3.6344349999999997E-2</v>
      </c>
      <c r="L42" s="205"/>
      <c r="M42" s="206"/>
      <c r="N42" s="204">
        <f t="shared" si="2"/>
        <v>1.9147557499999999E-2</v>
      </c>
      <c r="O42" s="205"/>
      <c r="P42" s="206"/>
      <c r="Q42" s="204">
        <f t="shared" si="3"/>
        <v>1.1202100000000001E-2</v>
      </c>
      <c r="R42" s="205"/>
      <c r="S42" s="206"/>
      <c r="T42" s="204">
        <f t="shared" si="4"/>
        <v>2.6608349999999999E-2</v>
      </c>
      <c r="U42" s="205"/>
      <c r="V42" s="206"/>
    </row>
    <row r="43" spans="10:22">
      <c r="J43" s="4" t="s">
        <v>121</v>
      </c>
      <c r="K43" s="204">
        <f t="shared" si="1"/>
        <v>1.2999999999999999E-2</v>
      </c>
      <c r="L43" s="205"/>
      <c r="M43" s="206"/>
      <c r="N43" s="204">
        <f t="shared" si="2"/>
        <v>6.3499999999999997E-3</v>
      </c>
      <c r="O43" s="205"/>
      <c r="P43" s="206"/>
      <c r="Q43" s="204">
        <f t="shared" si="3"/>
        <v>8.9999999999999993E-3</v>
      </c>
      <c r="R43" s="205"/>
      <c r="S43" s="206"/>
      <c r="T43" s="204">
        <f t="shared" si="4"/>
        <v>2.1999999999999999E-2</v>
      </c>
      <c r="U43" s="205"/>
      <c r="V43" s="206"/>
    </row>
    <row r="44" spans="10:22">
      <c r="J44" s="4" t="s">
        <v>125</v>
      </c>
      <c r="K44" s="204">
        <f t="shared" si="1"/>
        <v>0</v>
      </c>
      <c r="L44" s="205"/>
      <c r="M44" s="206"/>
      <c r="N44" s="204">
        <f t="shared" si="2"/>
        <v>0</v>
      </c>
      <c r="O44" s="205"/>
      <c r="P44" s="206"/>
      <c r="Q44" s="204">
        <f t="shared" si="3"/>
        <v>0</v>
      </c>
      <c r="R44" s="205"/>
      <c r="S44" s="206"/>
      <c r="T44" s="204">
        <f t="shared" si="4"/>
        <v>0</v>
      </c>
      <c r="U44" s="205"/>
      <c r="V44" s="206"/>
    </row>
    <row r="46" spans="10:22" ht="15" thickBot="1"/>
    <row r="47" spans="10:22" ht="15" thickBot="1">
      <c r="J47" s="67" t="s">
        <v>127</v>
      </c>
      <c r="K47" s="4">
        <v>2023</v>
      </c>
    </row>
    <row r="48" spans="10:22">
      <c r="J48" s="207" t="s">
        <v>89</v>
      </c>
      <c r="K48" s="185">
        <f>K39+N39+Q39+T39</f>
        <v>0.64664041666666672</v>
      </c>
    </row>
    <row r="49" spans="10:20">
      <c r="J49" s="208" t="s">
        <v>147</v>
      </c>
      <c r="K49" s="185">
        <f t="shared" ref="K49:K53" si="5">K40+N40+Q40+T40</f>
        <v>6.6195452000000002E-2</v>
      </c>
    </row>
    <row r="50" spans="10:20">
      <c r="J50" s="208" t="s">
        <v>99</v>
      </c>
      <c r="K50" s="185">
        <f t="shared" si="5"/>
        <v>3.3637137499999997E-2</v>
      </c>
    </row>
    <row r="51" spans="10:20">
      <c r="J51" s="208" t="s">
        <v>102</v>
      </c>
      <c r="K51" s="185">
        <f t="shared" si="5"/>
        <v>9.3302357500000002E-2</v>
      </c>
    </row>
    <row r="52" spans="10:20">
      <c r="J52" s="208" t="s">
        <v>121</v>
      </c>
      <c r="K52" s="185">
        <f t="shared" si="5"/>
        <v>5.0349999999999999E-2</v>
      </c>
    </row>
    <row r="53" spans="10:20">
      <c r="J53" s="208" t="s">
        <v>125</v>
      </c>
      <c r="K53" s="185">
        <f t="shared" si="5"/>
        <v>0</v>
      </c>
    </row>
    <row r="55" spans="10:20" ht="15" thickBot="1"/>
    <row r="56" spans="10:20" ht="18">
      <c r="J56" s="197" t="s">
        <v>127</v>
      </c>
      <c r="K56" s="4">
        <v>2023</v>
      </c>
      <c r="L56" s="198" t="s">
        <v>152</v>
      </c>
      <c r="M56" s="2" t="s">
        <v>153</v>
      </c>
      <c r="N56" s="2" t="s">
        <v>149</v>
      </c>
      <c r="O56" s="2" t="s">
        <v>150</v>
      </c>
      <c r="P56" s="2" t="s">
        <v>148</v>
      </c>
      <c r="Q56" s="198" t="s">
        <v>201</v>
      </c>
      <c r="T56" s="361" t="s">
        <v>281</v>
      </c>
    </row>
    <row r="57" spans="10:20" ht="18">
      <c r="J57" s="209" t="s">
        <v>89</v>
      </c>
      <c r="L57" s="199">
        <f>K48*Zeme21!C17</f>
        <v>0.27408801276343131</v>
      </c>
      <c r="M57" s="12">
        <f>K48*Zeme21!C18</f>
        <v>0.13435686900168201</v>
      </c>
      <c r="N57" s="12">
        <f>K48*Zeme21!C19</f>
        <v>0.15547009127337491</v>
      </c>
      <c r="O57" s="12">
        <f>K48*Zeme21!C20</f>
        <v>6.3531605199366778E-2</v>
      </c>
      <c r="P57" s="12">
        <f>K48*Zeme21!C21</f>
        <v>1.9193838428811717E-2</v>
      </c>
      <c r="Q57" s="199">
        <f>M57+N57+O57+P57</f>
        <v>0.37255240390323546</v>
      </c>
    </row>
    <row r="58" spans="10:20" ht="18">
      <c r="J58" s="4" t="s">
        <v>207</v>
      </c>
      <c r="L58" s="199">
        <f>K49*Zeme21!C18</f>
        <v>1.3753878420896409E-2</v>
      </c>
      <c r="M58" s="12">
        <f>K49*Zeme21!C19</f>
        <v>1.5915202172751559E-2</v>
      </c>
      <c r="N58" s="12">
        <f>K49*Zeme21!C20</f>
        <v>6.5036196533095874E-3</v>
      </c>
      <c r="O58" s="12">
        <f>K49*Zeme21!C21</f>
        <v>1.9648397744137726E-3</v>
      </c>
      <c r="P58" s="12">
        <f>K49*Zeme21!C22</f>
        <v>2.665433116246499E-3</v>
      </c>
      <c r="Q58" s="199">
        <f t="shared" ref="Q58:Q62" si="6">M58+N58+O58+P58</f>
        <v>2.7049094716721421E-2</v>
      </c>
    </row>
    <row r="59" spans="10:20" ht="18">
      <c r="J59" s="209" t="s">
        <v>99</v>
      </c>
      <c r="L59" s="199">
        <f>K50*Zeme21!C19</f>
        <v>8.0872904051647373E-3</v>
      </c>
      <c r="M59" s="12">
        <f>K50*Zeme21!C20</f>
        <v>3.3048063260611455E-3</v>
      </c>
      <c r="N59" s="12">
        <f>K50*Zeme21!C21</f>
        <v>9.9843091421786875E-4</v>
      </c>
      <c r="O59" s="12">
        <f>K50*Zeme21!C22</f>
        <v>1.3544365589985995E-3</v>
      </c>
      <c r="P59" s="12">
        <f>K50*Zeme21!C23</f>
        <v>0</v>
      </c>
      <c r="Q59" s="199">
        <f t="shared" si="6"/>
        <v>5.6576737992776139E-3</v>
      </c>
    </row>
    <row r="60" spans="10:20" ht="18">
      <c r="J60" s="70" t="s">
        <v>102</v>
      </c>
      <c r="L60" s="199">
        <f>K51*Zeme21!C20</f>
        <v>9.1668389232709997E-3</v>
      </c>
      <c r="M60" s="12">
        <f>K51*Zeme21!C21</f>
        <v>2.7694377411694865E-3</v>
      </c>
      <c r="N60" s="12">
        <f>K51*Zeme21!C22</f>
        <v>3.7569226584383756E-3</v>
      </c>
      <c r="O60" s="12">
        <f>K51*Zeme21!C23</f>
        <v>0</v>
      </c>
      <c r="P60" s="12">
        <f>K51*Zeme21!C24</f>
        <v>0</v>
      </c>
      <c r="Q60" s="199">
        <f t="shared" si="6"/>
        <v>6.5263603996078626E-3</v>
      </c>
    </row>
    <row r="61" spans="10:20" ht="18">
      <c r="J61" s="70" t="s">
        <v>121</v>
      </c>
      <c r="L61" s="199">
        <f>K52*Zeme21!C21</f>
        <v>1.4945087563075098E-3</v>
      </c>
      <c r="M61" s="12">
        <f>K52*Zeme21!C22</f>
        <v>2.0273984593837534E-3</v>
      </c>
      <c r="N61" s="12">
        <f>K52*Zeme21!C23</f>
        <v>0</v>
      </c>
      <c r="O61" s="12">
        <f>K52*Zeme21!C24</f>
        <v>0</v>
      </c>
      <c r="P61" s="12">
        <f>K52*Zeme21!C25</f>
        <v>0</v>
      </c>
      <c r="Q61" s="199">
        <f t="shared" si="6"/>
        <v>2.0273984593837534E-3</v>
      </c>
    </row>
    <row r="62" spans="10:20" ht="18">
      <c r="J62" s="210" t="s">
        <v>125</v>
      </c>
      <c r="L62" s="199">
        <f>K53*Zeme21!C22</f>
        <v>0</v>
      </c>
      <c r="M62" s="12">
        <f>K53*Zeme21!C23</f>
        <v>0</v>
      </c>
      <c r="N62" s="12">
        <f>K53*Zeme21!C24</f>
        <v>0</v>
      </c>
      <c r="O62" s="12">
        <f>K53*Zeme21!C25</f>
        <v>0</v>
      </c>
      <c r="P62" s="12">
        <f>K53*Zeme21!C26</f>
        <v>0</v>
      </c>
      <c r="Q62" s="199">
        <f t="shared" si="6"/>
        <v>0</v>
      </c>
    </row>
    <row r="63" spans="10:20" ht="15" thickBot="1"/>
    <row r="64" spans="10:20" ht="15" thickBot="1">
      <c r="J64" s="197" t="s">
        <v>127</v>
      </c>
    </row>
    <row r="65" spans="10:20">
      <c r="J65" s="242" t="s">
        <v>99</v>
      </c>
      <c r="K65" s="242"/>
      <c r="L65" s="243">
        <f>L57+L58+L59</f>
        <v>0.2959291815894925</v>
      </c>
      <c r="T65" s="247">
        <f>L65*1000</f>
        <v>295.92918158949249</v>
      </c>
    </row>
    <row r="66" spans="10:20" ht="15" thickBot="1">
      <c r="J66" s="244" t="s">
        <v>174</v>
      </c>
      <c r="K66" s="244"/>
      <c r="L66" s="245">
        <f>L60+L61</f>
        <v>1.066134767957851E-2</v>
      </c>
      <c r="T66" s="248">
        <f>L66*1000</f>
        <v>10.66134767957851</v>
      </c>
    </row>
    <row r="67" spans="10:20" ht="15" thickBot="1">
      <c r="J67" s="271" t="s">
        <v>213</v>
      </c>
      <c r="K67" s="271"/>
      <c r="L67" s="360">
        <f>L62</f>
        <v>0</v>
      </c>
      <c r="T67" s="272">
        <f>L67*1000</f>
        <v>0</v>
      </c>
    </row>
  </sheetData>
  <autoFilter ref="B1:B43" xr:uid="{00000000-0009-0000-0000-000009000000}"/>
  <conditionalFormatting sqref="G1:I1 H2:I2 G3:I24 H25:I25 G26:I1048576">
    <cfRule type="cellIs" dxfId="1" priority="1" operator="equal">
      <formula>FALSE</formula>
    </cfRule>
    <cfRule type="cellIs" dxfId="0" priority="2" operator="equal">
      <formula>TRUE</formula>
    </cfRule>
  </conditionalFormatting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F24FD-7EF0-4732-9C45-E3A487446B4C}">
  <sheetPr>
    <tabColor rgb="FFFFAF79"/>
  </sheetPr>
  <dimension ref="A1:Z47"/>
  <sheetViews>
    <sheetView topLeftCell="A5" zoomScale="80" zoomScaleNormal="80" workbookViewId="0">
      <selection activeCell="S33" sqref="S33"/>
    </sheetView>
  </sheetViews>
  <sheetFormatPr defaultColWidth="8.88671875" defaultRowHeight="14.4"/>
  <cols>
    <col min="1" max="1" width="14" style="134" customWidth="1"/>
    <col min="2" max="2" width="15.33203125" style="134" customWidth="1"/>
    <col min="3" max="3" width="19" style="134" customWidth="1"/>
    <col min="4" max="4" width="11.5546875" style="134" customWidth="1"/>
    <col min="5" max="5" width="10.88671875" style="134" customWidth="1"/>
    <col min="6" max="6" width="11.33203125" style="134" customWidth="1"/>
    <col min="7" max="7" width="13.44140625" style="134" customWidth="1"/>
    <col min="8" max="8" width="16.88671875" style="134" customWidth="1"/>
    <col min="9" max="9" width="12.5546875" style="134" customWidth="1"/>
    <col min="10" max="10" width="8.88671875" style="134"/>
    <col min="11" max="11" width="9.6640625" style="134" bestFit="1" customWidth="1"/>
    <col min="12" max="12" width="9.6640625" style="134" customWidth="1"/>
    <col min="13" max="13" width="10.33203125" style="134" customWidth="1"/>
    <col min="14" max="14" width="8.88671875" style="134"/>
    <col min="15" max="16" width="10.44140625" style="134" bestFit="1" customWidth="1"/>
    <col min="17" max="17" width="10.109375" style="134" customWidth="1"/>
    <col min="18" max="18" width="9.33203125" style="134" customWidth="1"/>
    <col min="19" max="19" width="8.88671875" style="134"/>
    <col min="20" max="20" width="13" style="134" customWidth="1"/>
    <col min="21" max="21" width="8.88671875" style="134"/>
    <col min="22" max="22" width="9.109375" style="134" bestFit="1" customWidth="1"/>
    <col min="23" max="23" width="10.5546875" style="134" bestFit="1" customWidth="1"/>
    <col min="24" max="25" width="8.88671875" style="134"/>
    <col min="26" max="26" width="10.44140625" style="134" bestFit="1" customWidth="1"/>
    <col min="27" max="16384" width="8.88671875" style="134"/>
  </cols>
  <sheetData>
    <row r="1" spans="1:24" ht="20.100000000000001" customHeight="1"/>
    <row r="2" spans="1:24" ht="20.100000000000001" customHeight="1" thickBot="1"/>
    <row r="3" spans="1:24" ht="20.100000000000001" customHeight="1">
      <c r="B3" s="183" t="s">
        <v>265</v>
      </c>
      <c r="C3" s="182"/>
      <c r="D3" s="135"/>
      <c r="E3" s="135"/>
      <c r="F3" s="135"/>
      <c r="G3" s="136"/>
    </row>
    <row r="4" spans="1:24" ht="20.100000000000001" customHeight="1">
      <c r="B4" s="137"/>
      <c r="C4" s="138">
        <v>2021</v>
      </c>
      <c r="D4" s="139" t="s">
        <v>174</v>
      </c>
      <c r="E4" s="140" t="s">
        <v>99</v>
      </c>
      <c r="F4" s="267" t="s">
        <v>213</v>
      </c>
      <c r="G4" s="141"/>
    </row>
    <row r="5" spans="1:24" ht="20.100000000000001" customHeight="1">
      <c r="B5" s="137">
        <v>1</v>
      </c>
      <c r="C5" s="138" t="s">
        <v>181</v>
      </c>
      <c r="D5" s="142">
        <f>I17</f>
        <v>0.28649999999999998</v>
      </c>
      <c r="E5" s="142">
        <f>I18</f>
        <v>0.80820000000000003</v>
      </c>
      <c r="F5" s="142">
        <f>I19</f>
        <v>0.27600000000000002</v>
      </c>
      <c r="G5" s="141"/>
      <c r="W5" s="143"/>
      <c r="X5" s="143"/>
    </row>
    <row r="6" spans="1:24" ht="20.100000000000001" customHeight="1">
      <c r="B6" s="137">
        <v>3</v>
      </c>
      <c r="C6" s="138" t="s">
        <v>178</v>
      </c>
      <c r="D6" s="142">
        <f>D8*E23</f>
        <v>0.30157894736842106</v>
      </c>
      <c r="E6" s="142">
        <f>E8*E26</f>
        <v>4.0410000000000004</v>
      </c>
      <c r="F6" s="142">
        <f>F8*E29</f>
        <v>0.27878787878787881</v>
      </c>
      <c r="G6" s="221" t="s">
        <v>156</v>
      </c>
      <c r="W6" s="143"/>
      <c r="X6" s="143"/>
    </row>
    <row r="7" spans="1:24" ht="20.100000000000001" customHeight="1">
      <c r="B7" s="137">
        <v>4</v>
      </c>
      <c r="C7" s="138" t="s">
        <v>232</v>
      </c>
      <c r="D7" s="142">
        <f>D6-D5</f>
        <v>1.5078947368421081E-2</v>
      </c>
      <c r="E7" s="142">
        <f>E6-E5</f>
        <v>3.2328000000000001</v>
      </c>
      <c r="F7" s="266">
        <f>F6-F5</f>
        <v>2.7878787878787836E-3</v>
      </c>
      <c r="G7" s="141" t="s">
        <v>157</v>
      </c>
      <c r="W7" s="143"/>
      <c r="X7" s="143"/>
    </row>
    <row r="8" spans="1:24" ht="20.100000000000001" customHeight="1" thickBot="1">
      <c r="B8" s="144">
        <v>2</v>
      </c>
      <c r="C8" s="145" t="s">
        <v>180</v>
      </c>
      <c r="D8" s="146">
        <f>D5/C22</f>
        <v>3.0157894736842104E-3</v>
      </c>
      <c r="E8" s="146">
        <f>E5/C25</f>
        <v>4.0410000000000001E-2</v>
      </c>
      <c r="F8" s="146">
        <f>F5/C28</f>
        <v>2.787878787878788E-3</v>
      </c>
      <c r="G8" s="147" t="s">
        <v>158</v>
      </c>
      <c r="W8" s="143"/>
      <c r="X8" s="143"/>
    </row>
    <row r="9" spans="1:24" ht="20.100000000000001" customHeight="1">
      <c r="W9" s="143"/>
      <c r="X9" s="143"/>
    </row>
    <row r="10" spans="1:24" ht="20.100000000000001" customHeight="1">
      <c r="V10" s="143"/>
      <c r="W10" s="143"/>
    </row>
    <row r="11" spans="1:24" ht="20.100000000000001" customHeight="1">
      <c r="V11" s="143"/>
      <c r="W11" s="143"/>
    </row>
    <row r="12" spans="1:24" ht="20.100000000000001" customHeight="1" thickBot="1">
      <c r="V12" s="143"/>
      <c r="W12" s="143"/>
    </row>
    <row r="13" spans="1:24" ht="20.100000000000001" customHeight="1" thickBot="1">
      <c r="A13" s="190" t="s">
        <v>203</v>
      </c>
      <c r="B13" s="191"/>
      <c r="C13" s="191"/>
      <c r="D13" s="191"/>
      <c r="E13" s="192"/>
      <c r="G13" s="181" t="s">
        <v>263</v>
      </c>
      <c r="H13" s="148"/>
      <c r="I13" s="149"/>
      <c r="V13" s="143"/>
      <c r="W13" s="143"/>
    </row>
    <row r="14" spans="1:24" ht="20.100000000000001" customHeight="1" thickBot="1">
      <c r="A14" s="212" t="s">
        <v>183</v>
      </c>
      <c r="B14" s="135"/>
      <c r="C14" s="234">
        <f>C4</f>
        <v>2021</v>
      </c>
      <c r="D14" s="235" t="s">
        <v>159</v>
      </c>
      <c r="E14" s="236" t="s">
        <v>160</v>
      </c>
      <c r="F14" s="150"/>
      <c r="G14" s="344"/>
      <c r="H14" s="345">
        <v>2021</v>
      </c>
      <c r="I14" s="166"/>
      <c r="V14" s="143"/>
      <c r="W14" s="143"/>
    </row>
    <row r="15" spans="1:24" ht="20.100000000000001" customHeight="1" thickBot="1">
      <c r="A15" s="237" t="s">
        <v>191</v>
      </c>
      <c r="B15" s="152"/>
      <c r="C15" s="152" t="s">
        <v>179</v>
      </c>
      <c r="D15" s="188">
        <f>1/(B17/C17)</f>
        <v>0.18947368421052632</v>
      </c>
      <c r="E15" s="189">
        <f>1/(B17/(D17+E17))</f>
        <v>0.81052631578947365</v>
      </c>
      <c r="F15" s="153"/>
      <c r="G15" s="154"/>
      <c r="H15" s="155">
        <v>1</v>
      </c>
      <c r="I15" s="346" t="s">
        <v>161</v>
      </c>
      <c r="V15" s="143"/>
      <c r="W15" s="143"/>
    </row>
    <row r="16" spans="1:24" ht="20.100000000000001" customHeight="1">
      <c r="A16" s="131"/>
      <c r="B16" s="157" t="s">
        <v>192</v>
      </c>
      <c r="C16" s="138" t="s">
        <v>33</v>
      </c>
      <c r="D16" s="187" t="s">
        <v>162</v>
      </c>
      <c r="E16" s="238" t="s">
        <v>163</v>
      </c>
      <c r="F16" s="152"/>
      <c r="G16" s="131"/>
      <c r="H16" s="193" t="s">
        <v>181</v>
      </c>
      <c r="I16" s="156" t="s">
        <v>164</v>
      </c>
      <c r="V16" s="143"/>
      <c r="W16" s="143"/>
    </row>
    <row r="17" spans="1:23" ht="20.100000000000001" customHeight="1" thickBot="1">
      <c r="A17" s="132"/>
      <c r="B17" s="239">
        <f>SUM(C17+D17+E17)</f>
        <v>9.5</v>
      </c>
      <c r="C17" s="240">
        <v>1.8</v>
      </c>
      <c r="D17" s="240">
        <v>2.9</v>
      </c>
      <c r="E17" s="241">
        <v>4.8</v>
      </c>
      <c r="F17" s="159"/>
      <c r="G17" s="137">
        <v>150102</v>
      </c>
      <c r="H17" s="194" t="s">
        <v>166</v>
      </c>
      <c r="I17" s="127">
        <v>0.28649999999999998</v>
      </c>
      <c r="V17" s="143"/>
      <c r="W17" s="143"/>
    </row>
    <row r="18" spans="1:23" ht="20.100000000000001" customHeight="1">
      <c r="A18" s="152"/>
      <c r="B18" s="158"/>
      <c r="C18" s="160"/>
      <c r="D18" s="160"/>
      <c r="E18" s="161"/>
      <c r="F18" s="152"/>
      <c r="G18" s="137">
        <v>150101</v>
      </c>
      <c r="H18" s="194" t="s">
        <v>165</v>
      </c>
      <c r="I18" s="127">
        <v>0.80820000000000003</v>
      </c>
      <c r="V18" s="143"/>
      <c r="W18" s="143"/>
    </row>
    <row r="19" spans="1:23" ht="20.100000000000001" customHeight="1" thickBot="1">
      <c r="A19" s="184" t="s">
        <v>264</v>
      </c>
      <c r="B19" s="131"/>
      <c r="C19" s="152" t="s">
        <v>20</v>
      </c>
      <c r="D19" s="152" t="s">
        <v>20</v>
      </c>
      <c r="E19" s="151" t="s">
        <v>20</v>
      </c>
      <c r="F19" s="152"/>
      <c r="G19" s="137">
        <v>200138</v>
      </c>
      <c r="H19" s="194" t="s">
        <v>167</v>
      </c>
      <c r="I19" s="127">
        <v>0.27600000000000002</v>
      </c>
      <c r="V19" s="143"/>
      <c r="W19" s="143"/>
    </row>
    <row r="20" spans="1:23" ht="20.100000000000001" customHeight="1" thickBot="1">
      <c r="A20" s="128" t="s">
        <v>184</v>
      </c>
      <c r="B20" s="131"/>
      <c r="C20" s="162" t="s">
        <v>297</v>
      </c>
      <c r="D20" s="355" t="s">
        <v>232</v>
      </c>
      <c r="E20" s="163" t="s">
        <v>182</v>
      </c>
      <c r="F20" s="164"/>
      <c r="G20" s="137">
        <v>170405</v>
      </c>
      <c r="H20" s="194" t="s">
        <v>168</v>
      </c>
      <c r="I20" s="129">
        <v>0.91595000000000004</v>
      </c>
      <c r="V20" s="143"/>
      <c r="W20" s="143"/>
    </row>
    <row r="21" spans="1:23" ht="20.100000000000001" customHeight="1" thickBot="1">
      <c r="A21" s="165" t="s">
        <v>178</v>
      </c>
      <c r="B21" s="130" t="s">
        <v>176</v>
      </c>
      <c r="C21" s="182" t="s">
        <v>169</v>
      </c>
      <c r="D21" s="135"/>
      <c r="E21" s="166"/>
      <c r="F21" s="152"/>
      <c r="G21" s="137">
        <v>150110</v>
      </c>
      <c r="H21" s="195" t="s">
        <v>170</v>
      </c>
      <c r="I21" s="129">
        <v>0</v>
      </c>
    </row>
    <row r="22" spans="1:23" ht="20.100000000000001" customHeight="1" thickBot="1">
      <c r="A22" s="165"/>
      <c r="B22" s="131"/>
      <c r="C22" s="167">
        <v>95</v>
      </c>
      <c r="D22" s="168">
        <f>E23-C22</f>
        <v>5</v>
      </c>
      <c r="E22" s="233"/>
      <c r="F22" s="152"/>
      <c r="G22" s="137">
        <v>200301</v>
      </c>
      <c r="H22" s="194" t="s">
        <v>171</v>
      </c>
      <c r="I22" s="129">
        <v>0.85</v>
      </c>
    </row>
    <row r="23" spans="1:23" ht="20.100000000000001" customHeight="1" thickBot="1">
      <c r="A23" s="152"/>
      <c r="B23" s="132"/>
      <c r="C23" s="268"/>
      <c r="D23" s="268"/>
      <c r="E23" s="169">
        <v>100</v>
      </c>
      <c r="F23" s="170"/>
      <c r="G23" s="137">
        <v>200307</v>
      </c>
      <c r="H23" s="194" t="s">
        <v>172</v>
      </c>
      <c r="I23" s="129">
        <v>0</v>
      </c>
    </row>
    <row r="24" spans="1:23" ht="20.100000000000001" customHeight="1" thickBot="1">
      <c r="A24" s="152"/>
      <c r="B24" s="131" t="s">
        <v>194</v>
      </c>
      <c r="C24" s="186" t="s">
        <v>169</v>
      </c>
      <c r="D24" s="152"/>
      <c r="E24" s="151"/>
      <c r="F24" s="152"/>
      <c r="G24" s="137">
        <v>150202</v>
      </c>
      <c r="H24" s="196" t="s">
        <v>190</v>
      </c>
      <c r="I24" s="133">
        <v>0</v>
      </c>
    </row>
    <row r="25" spans="1:23" ht="20.100000000000001" customHeight="1" thickBot="1">
      <c r="A25" s="152"/>
      <c r="B25" s="131"/>
      <c r="C25" s="171">
        <v>20</v>
      </c>
      <c r="D25" s="168">
        <f>E26-C25</f>
        <v>80</v>
      </c>
      <c r="E25" s="233"/>
      <c r="F25" s="152"/>
      <c r="G25" s="172"/>
      <c r="H25" s="173"/>
      <c r="I25" s="174"/>
    </row>
    <row r="26" spans="1:23" ht="20.100000000000001" customHeight="1" thickBot="1">
      <c r="A26" s="152"/>
      <c r="B26" s="131"/>
      <c r="C26" s="152"/>
      <c r="D26" s="152"/>
      <c r="E26" s="269">
        <v>100</v>
      </c>
      <c r="H26" s="143"/>
    </row>
    <row r="27" spans="1:23" ht="20.100000000000001" customHeight="1" thickBot="1">
      <c r="A27" s="152"/>
      <c r="B27" s="183" t="s">
        <v>173</v>
      </c>
      <c r="C27" s="367" t="s">
        <v>169</v>
      </c>
      <c r="D27" s="270"/>
      <c r="E27" s="177"/>
      <c r="H27" s="143"/>
    </row>
    <row r="28" spans="1:23" ht="20.100000000000001" customHeight="1" thickBot="1">
      <c r="A28" s="152"/>
      <c r="B28" s="237"/>
      <c r="C28" s="175">
        <v>99</v>
      </c>
      <c r="D28" s="176">
        <f>E29-C28</f>
        <v>1</v>
      </c>
      <c r="E28" s="177"/>
      <c r="H28" s="143"/>
    </row>
    <row r="29" spans="1:23" ht="20.100000000000001" customHeight="1" thickBot="1">
      <c r="B29" s="172"/>
      <c r="C29" s="232"/>
      <c r="D29" s="232"/>
      <c r="E29" s="177">
        <v>100</v>
      </c>
      <c r="H29" s="143"/>
    </row>
    <row r="30" spans="1:23" ht="20.100000000000001" customHeight="1" thickBot="1">
      <c r="A30" s="186" t="s">
        <v>193</v>
      </c>
    </row>
    <row r="31" spans="1:23" ht="20.100000000000001" customHeight="1">
      <c r="A31" s="212" t="s">
        <v>279</v>
      </c>
      <c r="B31" s="215" t="s">
        <v>231</v>
      </c>
      <c r="C31" s="214"/>
      <c r="D31" s="215" t="s">
        <v>152</v>
      </c>
      <c r="E31" s="215" t="s">
        <v>153</v>
      </c>
      <c r="F31" s="215" t="s">
        <v>149</v>
      </c>
      <c r="G31" s="215" t="s">
        <v>150</v>
      </c>
      <c r="H31" s="215" t="s">
        <v>148</v>
      </c>
      <c r="I31" s="215" t="s">
        <v>202</v>
      </c>
    </row>
    <row r="32" spans="1:23" ht="20.100000000000001" customHeight="1">
      <c r="A32" s="213" t="s">
        <v>177</v>
      </c>
      <c r="B32" s="347" t="s">
        <v>194</v>
      </c>
      <c r="C32" s="216">
        <f>E7</f>
        <v>3.2328000000000001</v>
      </c>
      <c r="D32" s="217">
        <f>C32*Zeme21!C17</f>
        <v>1.3702696349065004</v>
      </c>
      <c r="E32" s="216">
        <f>C32*Zeme21!C18</f>
        <v>0.67170080142475508</v>
      </c>
      <c r="F32" s="216">
        <f>C32*Zeme21!C19</f>
        <v>0.77725378450578819</v>
      </c>
      <c r="G32" s="216">
        <f>C32*Zeme21!C20</f>
        <v>0.3176185218165628</v>
      </c>
      <c r="H32" s="216">
        <f>C32*Zeme21!C21</f>
        <v>9.5957257346393598E-2</v>
      </c>
      <c r="I32" s="217">
        <f>SUM(E32:H32)</f>
        <v>1.8625303650934997</v>
      </c>
      <c r="J32" s="211"/>
    </row>
    <row r="33" spans="1:26" ht="20.100000000000001" customHeight="1">
      <c r="A33" s="150" t="s">
        <v>175</v>
      </c>
      <c r="B33" s="218" t="s">
        <v>176</v>
      </c>
      <c r="C33" s="219">
        <f>D7</f>
        <v>1.5078947368421081E-2</v>
      </c>
      <c r="D33" s="220">
        <f>C33*Zeme21!C17</f>
        <v>6.3914327225008316E-3</v>
      </c>
      <c r="E33" s="219">
        <f>C33*Zeme21!C18</f>
        <v>3.1330552561278585E-3</v>
      </c>
      <c r="F33" s="219">
        <f>C33*Zeme21!C19</f>
        <v>3.6253925106622372E-3</v>
      </c>
      <c r="G33" s="219">
        <f>C33*Zeme21!C20</f>
        <v>1.4814875568261731E-3</v>
      </c>
      <c r="H33" s="219">
        <f>C33*Zeme21!C21</f>
        <v>4.4757932230397987E-4</v>
      </c>
      <c r="I33" s="220">
        <f>SUM(E33:H33)</f>
        <v>8.6875146459202499E-3</v>
      </c>
    </row>
    <row r="34" spans="1:26" ht="20.100000000000001" customHeight="1">
      <c r="B34" s="362" t="s">
        <v>213</v>
      </c>
      <c r="C34" s="363">
        <f>F7</f>
        <v>2.7878787878787836E-3</v>
      </c>
      <c r="D34" s="364">
        <f>C34*Zeme21!C17</f>
        <v>1.1816832618257354E-3</v>
      </c>
      <c r="E34" s="363">
        <f>C34*Zeme21!C18</f>
        <v>5.792565008949684E-4</v>
      </c>
      <c r="F34" s="363">
        <f>C34*Zeme21!C19</f>
        <v>6.7028252246417773E-4</v>
      </c>
      <c r="G34" s="363">
        <f>C34*Zeme21!C20</f>
        <v>2.7390557399462078E-4</v>
      </c>
      <c r="H34" s="363">
        <f>C34*Zeme21!C21</f>
        <v>8.2750928699281206E-5</v>
      </c>
      <c r="I34" s="364">
        <f>SUM(E34:H34)</f>
        <v>1.6061955260530483E-3</v>
      </c>
      <c r="J34" s="178"/>
    </row>
    <row r="35" spans="1:26" ht="20.100000000000001" customHeight="1">
      <c r="U35" s="180"/>
      <c r="V35" s="180"/>
      <c r="W35" s="180"/>
      <c r="Y35" s="179"/>
      <c r="Z35" s="179"/>
    </row>
    <row r="36" spans="1:26">
      <c r="U36" s="180"/>
      <c r="V36" s="180"/>
      <c r="W36" s="180"/>
    </row>
    <row r="37" spans="1:26">
      <c r="U37" s="180"/>
      <c r="V37" s="180"/>
      <c r="W37" s="179"/>
    </row>
    <row r="38" spans="1:26">
      <c r="U38" s="180"/>
      <c r="V38" s="180"/>
      <c r="W38" s="179"/>
      <c r="Y38" s="179"/>
      <c r="Z38" s="179"/>
    </row>
    <row r="39" spans="1:26">
      <c r="U39" s="180"/>
      <c r="V39" s="180"/>
      <c r="W39" s="179"/>
      <c r="X39" s="179"/>
    </row>
    <row r="40" spans="1:26">
      <c r="U40" s="180"/>
      <c r="V40" s="180"/>
      <c r="W40" s="179"/>
      <c r="X40" s="179"/>
    </row>
    <row r="41" spans="1:26">
      <c r="V41" s="180"/>
      <c r="W41" s="180"/>
      <c r="X41" s="179"/>
    </row>
    <row r="42" spans="1:26">
      <c r="V42" s="180"/>
      <c r="W42" s="180"/>
      <c r="X42" s="179"/>
    </row>
    <row r="43" spans="1:26">
      <c r="V43" s="180"/>
      <c r="W43" s="180"/>
      <c r="X43" s="179"/>
    </row>
    <row r="44" spans="1:26">
      <c r="V44" s="180"/>
      <c r="W44" s="180"/>
      <c r="X44" s="179"/>
    </row>
    <row r="45" spans="1:26">
      <c r="V45" s="180"/>
      <c r="W45" s="180"/>
      <c r="X45" s="179"/>
    </row>
    <row r="46" spans="1:26">
      <c r="V46" s="180"/>
      <c r="W46" s="180"/>
      <c r="X46" s="179"/>
    </row>
    <row r="47" spans="1:26">
      <c r="V47" s="180"/>
      <c r="W47" s="180"/>
      <c r="X47" s="179"/>
    </row>
  </sheetData>
  <pageMargins left="0.75" right="0.75" top="1" bottom="1" header="0.5" footer="0.5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7B84F-CB1D-42AC-A052-D1B717349074}">
  <sheetPr>
    <tabColor rgb="FFFFAF79"/>
  </sheetPr>
  <dimension ref="A1:Z47"/>
  <sheetViews>
    <sheetView topLeftCell="A3" zoomScale="80" zoomScaleNormal="80" workbookViewId="0">
      <selection activeCell="O34" sqref="O34"/>
    </sheetView>
  </sheetViews>
  <sheetFormatPr defaultColWidth="8.88671875" defaultRowHeight="14.4"/>
  <cols>
    <col min="1" max="1" width="14" style="134" customWidth="1"/>
    <col min="2" max="2" width="15.33203125" style="134" customWidth="1"/>
    <col min="3" max="3" width="19" style="134" customWidth="1"/>
    <col min="4" max="4" width="11.5546875" style="134" customWidth="1"/>
    <col min="5" max="5" width="10.88671875" style="134" customWidth="1"/>
    <col min="6" max="6" width="11.33203125" style="134" customWidth="1"/>
    <col min="7" max="7" width="13.44140625" style="134" customWidth="1"/>
    <col min="8" max="8" width="16.88671875" style="134" customWidth="1"/>
    <col min="9" max="9" width="12.5546875" style="134" customWidth="1"/>
    <col min="10" max="10" width="8.88671875" style="134"/>
    <col min="11" max="11" width="9.6640625" style="134" bestFit="1" customWidth="1"/>
    <col min="12" max="12" width="9.6640625" style="134" customWidth="1"/>
    <col min="13" max="13" width="10.33203125" style="134" customWidth="1"/>
    <col min="14" max="14" width="8.88671875" style="134"/>
    <col min="15" max="16" width="10.44140625" style="134" bestFit="1" customWidth="1"/>
    <col min="17" max="17" width="10.109375" style="134" customWidth="1"/>
    <col min="18" max="18" width="9.33203125" style="134" customWidth="1"/>
    <col min="19" max="19" width="8.88671875" style="134"/>
    <col min="20" max="20" width="13" style="134" customWidth="1"/>
    <col min="21" max="21" width="8.88671875" style="134"/>
    <col min="22" max="22" width="9.109375" style="134" bestFit="1" customWidth="1"/>
    <col min="23" max="23" width="10.5546875" style="134" bestFit="1" customWidth="1"/>
    <col min="24" max="25" width="8.88671875" style="134"/>
    <col min="26" max="26" width="10.44140625" style="134" bestFit="1" customWidth="1"/>
    <col min="27" max="16384" width="8.88671875" style="134"/>
  </cols>
  <sheetData>
    <row r="1" spans="1:24" ht="20.100000000000001" customHeight="1"/>
    <row r="2" spans="1:24" ht="20.100000000000001" customHeight="1" thickBot="1"/>
    <row r="3" spans="1:24" ht="20.100000000000001" customHeight="1">
      <c r="B3" s="183" t="s">
        <v>265</v>
      </c>
      <c r="C3" s="182"/>
      <c r="D3" s="135"/>
      <c r="E3" s="135"/>
      <c r="F3" s="135"/>
      <c r="G3" s="136"/>
    </row>
    <row r="4" spans="1:24" ht="20.100000000000001" customHeight="1">
      <c r="B4" s="137"/>
      <c r="C4" s="138">
        <v>2022</v>
      </c>
      <c r="D4" s="139" t="s">
        <v>174</v>
      </c>
      <c r="E4" s="140" t="s">
        <v>99</v>
      </c>
      <c r="F4" s="267" t="s">
        <v>213</v>
      </c>
      <c r="G4" s="141"/>
    </row>
    <row r="5" spans="1:24" ht="20.100000000000001" customHeight="1">
      <c r="B5" s="137">
        <v>1</v>
      </c>
      <c r="C5" s="138" t="s">
        <v>181</v>
      </c>
      <c r="D5" s="142">
        <f>I17</f>
        <v>0.28649999999999998</v>
      </c>
      <c r="E5" s="142">
        <f>I18</f>
        <v>0.80820000000000003</v>
      </c>
      <c r="F5" s="142">
        <f>I19</f>
        <v>0.27600000000000002</v>
      </c>
      <c r="G5" s="141"/>
      <c r="W5" s="143"/>
      <c r="X5" s="143"/>
    </row>
    <row r="6" spans="1:24" ht="20.100000000000001" customHeight="1">
      <c r="B6" s="137">
        <v>3</v>
      </c>
      <c r="C6" s="138" t="s">
        <v>178</v>
      </c>
      <c r="D6" s="142">
        <f>D8*E23</f>
        <v>0.30157894736842106</v>
      </c>
      <c r="E6" s="142">
        <f>E8*E26</f>
        <v>4.0410000000000004</v>
      </c>
      <c r="F6" s="142">
        <f>F8*E29</f>
        <v>0.27878787878787881</v>
      </c>
      <c r="G6" s="221" t="s">
        <v>156</v>
      </c>
      <c r="W6" s="143"/>
      <c r="X6" s="143"/>
    </row>
    <row r="7" spans="1:24" ht="20.100000000000001" customHeight="1">
      <c r="B7" s="137">
        <v>4</v>
      </c>
      <c r="C7" s="138" t="s">
        <v>232</v>
      </c>
      <c r="D7" s="142">
        <f>D6-D5</f>
        <v>1.5078947368421081E-2</v>
      </c>
      <c r="E7" s="142">
        <f>E6-E5</f>
        <v>3.2328000000000001</v>
      </c>
      <c r="F7" s="266">
        <f>F6-F5</f>
        <v>2.7878787878787836E-3</v>
      </c>
      <c r="G7" s="141" t="s">
        <v>157</v>
      </c>
      <c r="W7" s="143"/>
      <c r="X7" s="143"/>
    </row>
    <row r="8" spans="1:24" ht="20.100000000000001" customHeight="1" thickBot="1">
      <c r="B8" s="144">
        <v>2</v>
      </c>
      <c r="C8" s="145" t="s">
        <v>180</v>
      </c>
      <c r="D8" s="146">
        <f>D5/C22</f>
        <v>3.0157894736842104E-3</v>
      </c>
      <c r="E8" s="146">
        <f>E5/C25</f>
        <v>4.0410000000000001E-2</v>
      </c>
      <c r="F8" s="146">
        <f>F5/C28</f>
        <v>2.787878787878788E-3</v>
      </c>
      <c r="G8" s="147" t="s">
        <v>158</v>
      </c>
      <c r="W8" s="143"/>
      <c r="X8" s="143"/>
    </row>
    <row r="9" spans="1:24" ht="20.100000000000001" customHeight="1">
      <c r="W9" s="143"/>
      <c r="X9" s="143"/>
    </row>
    <row r="10" spans="1:24" ht="20.100000000000001" customHeight="1">
      <c r="V10" s="143"/>
      <c r="W10" s="143"/>
    </row>
    <row r="11" spans="1:24" ht="20.100000000000001" customHeight="1">
      <c r="V11" s="143"/>
      <c r="W11" s="143"/>
    </row>
    <row r="12" spans="1:24" ht="20.100000000000001" customHeight="1" thickBot="1">
      <c r="V12" s="143"/>
      <c r="W12" s="143"/>
    </row>
    <row r="13" spans="1:24" ht="20.100000000000001" customHeight="1" thickBot="1">
      <c r="A13" s="190" t="s">
        <v>203</v>
      </c>
      <c r="B13" s="191"/>
      <c r="C13" s="191"/>
      <c r="D13" s="191"/>
      <c r="E13" s="192"/>
      <c r="G13" s="181" t="s">
        <v>263</v>
      </c>
      <c r="H13" s="148"/>
      <c r="I13" s="149"/>
      <c r="V13" s="143"/>
      <c r="W13" s="143"/>
    </row>
    <row r="14" spans="1:24" ht="20.100000000000001" customHeight="1" thickBot="1">
      <c r="A14" s="212" t="s">
        <v>183</v>
      </c>
      <c r="B14" s="135"/>
      <c r="C14" s="234">
        <f>C4</f>
        <v>2022</v>
      </c>
      <c r="D14" s="235" t="s">
        <v>159</v>
      </c>
      <c r="E14" s="236" t="s">
        <v>160</v>
      </c>
      <c r="F14" s="150"/>
      <c r="G14" s="344"/>
      <c r="H14" s="345">
        <v>2022</v>
      </c>
      <c r="I14" s="166"/>
      <c r="V14" s="143"/>
      <c r="W14" s="143"/>
    </row>
    <row r="15" spans="1:24" ht="20.100000000000001" customHeight="1" thickBot="1">
      <c r="A15" s="237" t="s">
        <v>191</v>
      </c>
      <c r="B15" s="152"/>
      <c r="C15" s="152" t="s">
        <v>179</v>
      </c>
      <c r="D15" s="188">
        <f>1/(B17/C17)</f>
        <v>0.18947368421052632</v>
      </c>
      <c r="E15" s="189">
        <f>1/(B17/(D17+E17))</f>
        <v>0.81052631578947365</v>
      </c>
      <c r="F15" s="153"/>
      <c r="G15" s="154"/>
      <c r="H15" s="155">
        <v>1</v>
      </c>
      <c r="I15" s="346" t="s">
        <v>161</v>
      </c>
      <c r="V15" s="143"/>
      <c r="W15" s="143"/>
    </row>
    <row r="16" spans="1:24" ht="20.100000000000001" customHeight="1">
      <c r="A16" s="131"/>
      <c r="B16" s="157" t="s">
        <v>192</v>
      </c>
      <c r="C16" s="138" t="s">
        <v>33</v>
      </c>
      <c r="D16" s="187" t="s">
        <v>162</v>
      </c>
      <c r="E16" s="238" t="s">
        <v>163</v>
      </c>
      <c r="F16" s="152"/>
      <c r="G16" s="131"/>
      <c r="H16" s="193" t="s">
        <v>181</v>
      </c>
      <c r="I16" s="156" t="s">
        <v>164</v>
      </c>
      <c r="V16" s="143"/>
      <c r="W16" s="143"/>
    </row>
    <row r="17" spans="1:23" ht="20.100000000000001" customHeight="1" thickBot="1">
      <c r="A17" s="132"/>
      <c r="B17" s="239">
        <f>SUM(C17+D17+E17)</f>
        <v>9.5</v>
      </c>
      <c r="C17" s="240">
        <v>1.8</v>
      </c>
      <c r="D17" s="240">
        <v>2.9</v>
      </c>
      <c r="E17" s="241">
        <v>4.8</v>
      </c>
      <c r="F17" s="159"/>
      <c r="G17" s="137">
        <v>150102</v>
      </c>
      <c r="H17" s="194" t="s">
        <v>166</v>
      </c>
      <c r="I17" s="127">
        <v>0.28649999999999998</v>
      </c>
      <c r="V17" s="143"/>
      <c r="W17" s="143"/>
    </row>
    <row r="18" spans="1:23" ht="20.100000000000001" customHeight="1">
      <c r="A18" s="152"/>
      <c r="B18" s="158"/>
      <c r="C18" s="160"/>
      <c r="D18" s="160"/>
      <c r="E18" s="161"/>
      <c r="F18" s="152"/>
      <c r="G18" s="137">
        <v>150101</v>
      </c>
      <c r="H18" s="194" t="s">
        <v>165</v>
      </c>
      <c r="I18" s="127">
        <v>0.80820000000000003</v>
      </c>
      <c r="V18" s="143"/>
      <c r="W18" s="143"/>
    </row>
    <row r="19" spans="1:23" ht="20.100000000000001" customHeight="1" thickBot="1">
      <c r="A19" s="184" t="s">
        <v>264</v>
      </c>
      <c r="B19" s="131"/>
      <c r="C19" s="152" t="s">
        <v>20</v>
      </c>
      <c r="D19" s="152" t="s">
        <v>20</v>
      </c>
      <c r="E19" s="151" t="s">
        <v>20</v>
      </c>
      <c r="F19" s="152"/>
      <c r="G19" s="137">
        <v>200138</v>
      </c>
      <c r="H19" s="194" t="s">
        <v>167</v>
      </c>
      <c r="I19" s="127">
        <v>0.27600000000000002</v>
      </c>
      <c r="V19" s="143"/>
      <c r="W19" s="143"/>
    </row>
    <row r="20" spans="1:23" ht="20.100000000000001" customHeight="1" thickBot="1">
      <c r="A20" s="128" t="s">
        <v>380</v>
      </c>
      <c r="B20" s="131"/>
      <c r="C20" s="162" t="s">
        <v>297</v>
      </c>
      <c r="D20" s="355" t="s">
        <v>232</v>
      </c>
      <c r="E20" s="163" t="s">
        <v>182</v>
      </c>
      <c r="F20" s="164"/>
      <c r="G20" s="137">
        <v>170405</v>
      </c>
      <c r="H20" s="194" t="s">
        <v>168</v>
      </c>
      <c r="I20" s="129">
        <v>0.91595000000000004</v>
      </c>
      <c r="V20" s="143"/>
      <c r="W20" s="143"/>
    </row>
    <row r="21" spans="1:23" ht="20.100000000000001" customHeight="1" thickBot="1">
      <c r="A21" s="165" t="s">
        <v>178</v>
      </c>
      <c r="B21" s="130" t="s">
        <v>176</v>
      </c>
      <c r="C21" s="182" t="s">
        <v>169</v>
      </c>
      <c r="D21" s="135"/>
      <c r="E21" s="166"/>
      <c r="F21" s="152"/>
      <c r="G21" s="137">
        <v>150110</v>
      </c>
      <c r="H21" s="195" t="s">
        <v>170</v>
      </c>
      <c r="I21" s="129">
        <v>0</v>
      </c>
    </row>
    <row r="22" spans="1:23" ht="20.100000000000001" customHeight="1" thickBot="1">
      <c r="A22" s="165"/>
      <c r="B22" s="131"/>
      <c r="C22" s="167">
        <v>95</v>
      </c>
      <c r="D22" s="168">
        <f>E23-C22</f>
        <v>5</v>
      </c>
      <c r="E22" s="233"/>
      <c r="F22" s="152"/>
      <c r="G22" s="137">
        <v>200301</v>
      </c>
      <c r="H22" s="194" t="s">
        <v>171</v>
      </c>
      <c r="I22" s="129">
        <v>0.85</v>
      </c>
    </row>
    <row r="23" spans="1:23" ht="20.100000000000001" customHeight="1" thickBot="1">
      <c r="A23" s="152"/>
      <c r="B23" s="132"/>
      <c r="C23" s="268"/>
      <c r="D23" s="268"/>
      <c r="E23" s="169">
        <v>100</v>
      </c>
      <c r="F23" s="170"/>
      <c r="G23" s="137">
        <v>200307</v>
      </c>
      <c r="H23" s="194" t="s">
        <v>172</v>
      </c>
      <c r="I23" s="129">
        <v>0</v>
      </c>
    </row>
    <row r="24" spans="1:23" ht="20.100000000000001" customHeight="1" thickBot="1">
      <c r="A24" s="152"/>
      <c r="B24" s="131" t="s">
        <v>194</v>
      </c>
      <c r="C24" s="186" t="s">
        <v>169</v>
      </c>
      <c r="D24" s="152"/>
      <c r="E24" s="151"/>
      <c r="F24" s="152"/>
      <c r="G24" s="137">
        <v>150202</v>
      </c>
      <c r="H24" s="196" t="s">
        <v>190</v>
      </c>
      <c r="I24" s="133">
        <v>0</v>
      </c>
    </row>
    <row r="25" spans="1:23" ht="20.100000000000001" customHeight="1" thickBot="1">
      <c r="A25" s="152"/>
      <c r="B25" s="131"/>
      <c r="C25" s="171">
        <v>20</v>
      </c>
      <c r="D25" s="168">
        <f>E26-C25</f>
        <v>80</v>
      </c>
      <c r="E25" s="233"/>
      <c r="F25" s="152"/>
      <c r="G25" s="172"/>
      <c r="H25" s="173"/>
      <c r="I25" s="174"/>
    </row>
    <row r="26" spans="1:23" ht="20.100000000000001" customHeight="1" thickBot="1">
      <c r="A26" s="152"/>
      <c r="B26" s="131"/>
      <c r="C26" s="152"/>
      <c r="D26" s="152"/>
      <c r="E26" s="269">
        <v>100</v>
      </c>
      <c r="H26" s="143"/>
    </row>
    <row r="27" spans="1:23" ht="20.100000000000001" customHeight="1" thickBot="1">
      <c r="A27" s="152"/>
      <c r="B27" s="183" t="s">
        <v>173</v>
      </c>
      <c r="C27" s="367" t="s">
        <v>169</v>
      </c>
      <c r="D27" s="270"/>
      <c r="E27" s="177"/>
      <c r="H27" s="143"/>
    </row>
    <row r="28" spans="1:23" ht="20.100000000000001" customHeight="1" thickBot="1">
      <c r="A28" s="152"/>
      <c r="B28" s="237"/>
      <c r="C28" s="175">
        <v>99</v>
      </c>
      <c r="D28" s="176">
        <f>E29-C28</f>
        <v>1</v>
      </c>
      <c r="E28" s="177"/>
      <c r="H28" s="143"/>
    </row>
    <row r="29" spans="1:23" ht="20.100000000000001" customHeight="1" thickBot="1">
      <c r="B29" s="172"/>
      <c r="C29" s="232"/>
      <c r="D29" s="232"/>
      <c r="E29" s="177">
        <v>100</v>
      </c>
      <c r="H29" s="143"/>
    </row>
    <row r="30" spans="1:23" ht="20.100000000000001" customHeight="1" thickBot="1">
      <c r="A30" s="186" t="s">
        <v>193</v>
      </c>
    </row>
    <row r="31" spans="1:23" ht="20.100000000000001" customHeight="1">
      <c r="A31" s="212" t="s">
        <v>279</v>
      </c>
      <c r="B31" s="215" t="s">
        <v>231</v>
      </c>
      <c r="C31" s="214"/>
      <c r="D31" s="215" t="s">
        <v>152</v>
      </c>
      <c r="E31" s="215" t="s">
        <v>153</v>
      </c>
      <c r="F31" s="215" t="s">
        <v>149</v>
      </c>
      <c r="G31" s="215" t="s">
        <v>150</v>
      </c>
      <c r="H31" s="215" t="s">
        <v>148</v>
      </c>
      <c r="I31" s="215" t="s">
        <v>202</v>
      </c>
    </row>
    <row r="32" spans="1:23" ht="20.100000000000001" customHeight="1">
      <c r="A32" s="213" t="s">
        <v>177</v>
      </c>
      <c r="B32" s="347" t="s">
        <v>194</v>
      </c>
      <c r="C32" s="216">
        <f>E7</f>
        <v>3.2328000000000001</v>
      </c>
      <c r="D32" s="217">
        <f>C32*Zeme21!C17</f>
        <v>1.3702696349065004</v>
      </c>
      <c r="E32" s="216">
        <f>C32*Zeme21!C18</f>
        <v>0.67170080142475508</v>
      </c>
      <c r="F32" s="216">
        <f>C32*Zeme21!C19</f>
        <v>0.77725378450578819</v>
      </c>
      <c r="G32" s="216">
        <f>C32*Zeme21!C20</f>
        <v>0.3176185218165628</v>
      </c>
      <c r="H32" s="216">
        <f>C32*Zeme21!C21</f>
        <v>9.5957257346393598E-2</v>
      </c>
      <c r="I32" s="217">
        <f>SUM(E32:H32)</f>
        <v>1.8625303650934997</v>
      </c>
      <c r="J32" s="211"/>
    </row>
    <row r="33" spans="1:26" ht="20.100000000000001" customHeight="1">
      <c r="A33" s="150" t="s">
        <v>175</v>
      </c>
      <c r="B33" s="218" t="s">
        <v>176</v>
      </c>
      <c r="C33" s="219">
        <f>D7</f>
        <v>1.5078947368421081E-2</v>
      </c>
      <c r="D33" s="220">
        <f>C33*Zeme21!C17</f>
        <v>6.3914327225008316E-3</v>
      </c>
      <c r="E33" s="219">
        <f>C33*Zeme21!C18</f>
        <v>3.1330552561278585E-3</v>
      </c>
      <c r="F33" s="219">
        <f>C33*Zeme21!C19</f>
        <v>3.6253925106622372E-3</v>
      </c>
      <c r="G33" s="219">
        <f>C33*Zeme21!C20</f>
        <v>1.4814875568261731E-3</v>
      </c>
      <c r="H33" s="219">
        <f>C33*Zeme21!C21</f>
        <v>4.4757932230397987E-4</v>
      </c>
      <c r="I33" s="220">
        <f>SUM(E33:H33)</f>
        <v>8.6875146459202499E-3</v>
      </c>
    </row>
    <row r="34" spans="1:26" ht="20.100000000000001" customHeight="1">
      <c r="B34" s="362" t="s">
        <v>213</v>
      </c>
      <c r="C34" s="363">
        <f>F7</f>
        <v>2.7878787878787836E-3</v>
      </c>
      <c r="D34" s="364">
        <f>C34*Zeme21!C17</f>
        <v>1.1816832618257354E-3</v>
      </c>
      <c r="E34" s="363">
        <f>C34*Zeme21!C18</f>
        <v>5.792565008949684E-4</v>
      </c>
      <c r="F34" s="363">
        <f>C34*Zeme21!C19</f>
        <v>6.7028252246417773E-4</v>
      </c>
      <c r="G34" s="363">
        <f>C34*Zeme21!C20</f>
        <v>2.7390557399462078E-4</v>
      </c>
      <c r="H34" s="363">
        <f>C34*Zeme21!C21</f>
        <v>8.2750928699281206E-5</v>
      </c>
      <c r="I34" s="364">
        <f>SUM(E34:H34)</f>
        <v>1.6061955260530483E-3</v>
      </c>
      <c r="J34" s="178"/>
    </row>
    <row r="35" spans="1:26" ht="20.100000000000001" customHeight="1">
      <c r="U35" s="180"/>
      <c r="V35" s="180"/>
      <c r="W35" s="180"/>
      <c r="Y35" s="179"/>
      <c r="Z35" s="179"/>
    </row>
    <row r="36" spans="1:26">
      <c r="U36" s="180"/>
      <c r="V36" s="180"/>
      <c r="W36" s="180"/>
    </row>
    <row r="37" spans="1:26">
      <c r="U37" s="180"/>
      <c r="V37" s="180"/>
      <c r="W37" s="179"/>
    </row>
    <row r="38" spans="1:26">
      <c r="U38" s="180"/>
      <c r="V38" s="180"/>
      <c r="W38" s="179"/>
      <c r="Y38" s="179"/>
      <c r="Z38" s="179"/>
    </row>
    <row r="39" spans="1:26">
      <c r="U39" s="180"/>
      <c r="V39" s="180"/>
      <c r="W39" s="179"/>
      <c r="X39" s="179"/>
    </row>
    <row r="40" spans="1:26">
      <c r="U40" s="180"/>
      <c r="V40" s="180"/>
      <c r="W40" s="179"/>
      <c r="X40" s="179"/>
    </row>
    <row r="41" spans="1:26">
      <c r="V41" s="180"/>
      <c r="W41" s="180"/>
      <c r="X41" s="179"/>
    </row>
    <row r="42" spans="1:26">
      <c r="V42" s="180"/>
      <c r="W42" s="180"/>
      <c r="X42" s="179"/>
    </row>
    <row r="43" spans="1:26">
      <c r="V43" s="180"/>
      <c r="W43" s="180"/>
      <c r="X43" s="179"/>
    </row>
    <row r="44" spans="1:26">
      <c r="V44" s="180"/>
      <c r="W44" s="180"/>
      <c r="X44" s="179"/>
    </row>
    <row r="45" spans="1:26">
      <c r="V45" s="180"/>
      <c r="W45" s="180"/>
      <c r="X45" s="179"/>
    </row>
    <row r="46" spans="1:26">
      <c r="V46" s="180"/>
      <c r="W46" s="180"/>
      <c r="X46" s="179"/>
    </row>
    <row r="47" spans="1:26">
      <c r="V47" s="180"/>
      <c r="W47" s="180"/>
      <c r="X47" s="179"/>
    </row>
  </sheetData>
  <pageMargins left="0.75" right="0.75" top="1" bottom="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E533E-F4CE-43DB-B7EE-C5CF8C0EC3C8}">
  <sheetPr>
    <tabColor rgb="FFFFAF79"/>
  </sheetPr>
  <dimension ref="A1:Z47"/>
  <sheetViews>
    <sheetView topLeftCell="A14" zoomScale="80" zoomScaleNormal="80" workbookViewId="0">
      <selection activeCell="T30" sqref="T30"/>
    </sheetView>
  </sheetViews>
  <sheetFormatPr defaultColWidth="8.88671875" defaultRowHeight="14.4"/>
  <cols>
    <col min="1" max="1" width="14" style="134" customWidth="1"/>
    <col min="2" max="2" width="15.33203125" style="134" customWidth="1"/>
    <col min="3" max="3" width="19" style="134" customWidth="1"/>
    <col min="4" max="4" width="11.5546875" style="134" customWidth="1"/>
    <col min="5" max="5" width="10.88671875" style="134" customWidth="1"/>
    <col min="6" max="6" width="11.33203125" style="134" customWidth="1"/>
    <col min="7" max="7" width="13.44140625" style="134" customWidth="1"/>
    <col min="8" max="8" width="16.88671875" style="134" customWidth="1"/>
    <col min="9" max="9" width="12.5546875" style="134" customWidth="1"/>
    <col min="10" max="10" width="8.88671875" style="134"/>
    <col min="11" max="11" width="9.6640625" style="134" bestFit="1" customWidth="1"/>
    <col min="12" max="12" width="9.6640625" style="134" customWidth="1"/>
    <col min="13" max="13" width="10.33203125" style="134" customWidth="1"/>
    <col min="14" max="14" width="8.88671875" style="134"/>
    <col min="15" max="16" width="10.44140625" style="134" bestFit="1" customWidth="1"/>
    <col min="17" max="17" width="10.109375" style="134" customWidth="1"/>
    <col min="18" max="18" width="9.33203125" style="134" customWidth="1"/>
    <col min="19" max="19" width="8.88671875" style="134"/>
    <col min="20" max="20" width="13" style="134" customWidth="1"/>
    <col min="21" max="21" width="8.88671875" style="134"/>
    <col min="22" max="22" width="9.109375" style="134" bestFit="1" customWidth="1"/>
    <col min="23" max="23" width="10.5546875" style="134" bestFit="1" customWidth="1"/>
    <col min="24" max="25" width="8.88671875" style="134"/>
    <col min="26" max="26" width="10.44140625" style="134" bestFit="1" customWidth="1"/>
    <col min="27" max="16384" width="8.88671875" style="134"/>
  </cols>
  <sheetData>
    <row r="1" spans="1:24" ht="20.100000000000001" customHeight="1"/>
    <row r="2" spans="1:24" ht="20.100000000000001" customHeight="1" thickBot="1"/>
    <row r="3" spans="1:24" ht="20.100000000000001" customHeight="1">
      <c r="B3" s="183" t="s">
        <v>265</v>
      </c>
      <c r="C3" s="182"/>
      <c r="D3" s="135"/>
      <c r="E3" s="135"/>
      <c r="F3" s="135"/>
      <c r="G3" s="136"/>
    </row>
    <row r="4" spans="1:24" ht="20.100000000000001" customHeight="1">
      <c r="B4" s="137"/>
      <c r="C4" s="138">
        <v>2023</v>
      </c>
      <c r="D4" s="139" t="s">
        <v>174</v>
      </c>
      <c r="E4" s="140" t="s">
        <v>99</v>
      </c>
      <c r="F4" s="267" t="s">
        <v>213</v>
      </c>
      <c r="G4" s="141"/>
    </row>
    <row r="5" spans="1:24" ht="20.100000000000001" customHeight="1">
      <c r="B5" s="137">
        <v>1</v>
      </c>
      <c r="C5" s="138" t="s">
        <v>181</v>
      </c>
      <c r="D5" s="142">
        <f>I17</f>
        <v>0.28649999999999998</v>
      </c>
      <c r="E5" s="142">
        <f>I18</f>
        <v>0.80820000000000003</v>
      </c>
      <c r="F5" s="142">
        <f>I19</f>
        <v>0.27600000000000002</v>
      </c>
      <c r="G5" s="141"/>
      <c r="W5" s="143"/>
      <c r="X5" s="143"/>
    </row>
    <row r="6" spans="1:24" ht="20.100000000000001" customHeight="1">
      <c r="B6" s="137">
        <v>3</v>
      </c>
      <c r="C6" s="138" t="s">
        <v>178</v>
      </c>
      <c r="D6" s="142">
        <f>D8*E23</f>
        <v>0.30157894736842106</v>
      </c>
      <c r="E6" s="142">
        <f>E8*E26</f>
        <v>4.0410000000000004</v>
      </c>
      <c r="F6" s="142">
        <f>F8*E29</f>
        <v>0.27878787878787881</v>
      </c>
      <c r="G6" s="221" t="s">
        <v>156</v>
      </c>
      <c r="W6" s="143"/>
      <c r="X6" s="143"/>
    </row>
    <row r="7" spans="1:24" ht="20.100000000000001" customHeight="1">
      <c r="B7" s="137">
        <v>4</v>
      </c>
      <c r="C7" s="138" t="s">
        <v>232</v>
      </c>
      <c r="D7" s="142">
        <f>D6-D5</f>
        <v>1.5078947368421081E-2</v>
      </c>
      <c r="E7" s="142">
        <f>E6-E5</f>
        <v>3.2328000000000001</v>
      </c>
      <c r="F7" s="266">
        <f>F6-F5</f>
        <v>2.7878787878787836E-3</v>
      </c>
      <c r="G7" s="141" t="s">
        <v>157</v>
      </c>
      <c r="W7" s="143"/>
      <c r="X7" s="143"/>
    </row>
    <row r="8" spans="1:24" ht="20.100000000000001" customHeight="1" thickBot="1">
      <c r="B8" s="144">
        <v>2</v>
      </c>
      <c r="C8" s="145" t="s">
        <v>180</v>
      </c>
      <c r="D8" s="146">
        <f>D5/C22</f>
        <v>3.0157894736842104E-3</v>
      </c>
      <c r="E8" s="146">
        <f>E5/C25</f>
        <v>4.0410000000000001E-2</v>
      </c>
      <c r="F8" s="146">
        <f>F5/C28</f>
        <v>2.787878787878788E-3</v>
      </c>
      <c r="G8" s="147" t="s">
        <v>158</v>
      </c>
      <c r="W8" s="143"/>
      <c r="X8" s="143"/>
    </row>
    <row r="9" spans="1:24" ht="20.100000000000001" customHeight="1">
      <c r="W9" s="143"/>
      <c r="X9" s="143"/>
    </row>
    <row r="10" spans="1:24" ht="20.100000000000001" customHeight="1">
      <c r="V10" s="143"/>
      <c r="W10" s="143"/>
    </row>
    <row r="11" spans="1:24" ht="20.100000000000001" customHeight="1">
      <c r="V11" s="143"/>
      <c r="W11" s="143"/>
    </row>
    <row r="12" spans="1:24" ht="20.100000000000001" customHeight="1" thickBot="1">
      <c r="V12" s="143"/>
      <c r="W12" s="143"/>
    </row>
    <row r="13" spans="1:24" ht="20.100000000000001" customHeight="1" thickBot="1">
      <c r="A13" s="190" t="s">
        <v>203</v>
      </c>
      <c r="B13" s="191"/>
      <c r="C13" s="191"/>
      <c r="D13" s="191"/>
      <c r="E13" s="192"/>
      <c r="G13" s="181" t="s">
        <v>263</v>
      </c>
      <c r="H13" s="148"/>
      <c r="I13" s="149"/>
      <c r="V13" s="143"/>
      <c r="W13" s="143"/>
    </row>
    <row r="14" spans="1:24" ht="20.100000000000001" customHeight="1" thickBot="1">
      <c r="A14" s="212" t="s">
        <v>183</v>
      </c>
      <c r="B14" s="135"/>
      <c r="C14" s="234">
        <f>C4</f>
        <v>2023</v>
      </c>
      <c r="D14" s="235" t="s">
        <v>159</v>
      </c>
      <c r="E14" s="236" t="s">
        <v>160</v>
      </c>
      <c r="F14" s="150"/>
      <c r="G14" s="344"/>
      <c r="H14" s="345">
        <v>2023</v>
      </c>
      <c r="I14" s="166"/>
      <c r="V14" s="143"/>
      <c r="W14" s="143"/>
    </row>
    <row r="15" spans="1:24" ht="20.100000000000001" customHeight="1" thickBot="1">
      <c r="A15" s="237" t="s">
        <v>191</v>
      </c>
      <c r="B15" s="152"/>
      <c r="C15" s="152" t="s">
        <v>179</v>
      </c>
      <c r="D15" s="188">
        <f>1/(B17/C17)</f>
        <v>0.18947368421052632</v>
      </c>
      <c r="E15" s="189">
        <f>1/(B17/(D17+E17))</f>
        <v>0.81052631578947365</v>
      </c>
      <c r="F15" s="153"/>
      <c r="G15" s="154"/>
      <c r="H15" s="155">
        <v>1</v>
      </c>
      <c r="I15" s="346" t="s">
        <v>161</v>
      </c>
      <c r="V15" s="143"/>
      <c r="W15" s="143"/>
    </row>
    <row r="16" spans="1:24" ht="20.100000000000001" customHeight="1">
      <c r="A16" s="131"/>
      <c r="B16" s="157" t="s">
        <v>192</v>
      </c>
      <c r="C16" s="138" t="s">
        <v>33</v>
      </c>
      <c r="D16" s="187" t="s">
        <v>162</v>
      </c>
      <c r="E16" s="238" t="s">
        <v>163</v>
      </c>
      <c r="F16" s="152"/>
      <c r="G16" s="131"/>
      <c r="H16" s="193" t="s">
        <v>181</v>
      </c>
      <c r="I16" s="156" t="s">
        <v>164</v>
      </c>
      <c r="V16" s="143"/>
      <c r="W16" s="143"/>
    </row>
    <row r="17" spans="1:23" ht="20.100000000000001" customHeight="1" thickBot="1">
      <c r="A17" s="132"/>
      <c r="B17" s="239">
        <f>SUM(C17+D17+E17)</f>
        <v>9.5</v>
      </c>
      <c r="C17" s="240">
        <v>1.8</v>
      </c>
      <c r="D17" s="240">
        <v>2.9</v>
      </c>
      <c r="E17" s="241">
        <v>4.8</v>
      </c>
      <c r="F17" s="159"/>
      <c r="G17" s="137">
        <v>150102</v>
      </c>
      <c r="H17" s="194" t="s">
        <v>166</v>
      </c>
      <c r="I17" s="127">
        <v>0.28649999999999998</v>
      </c>
      <c r="V17" s="143"/>
      <c r="W17" s="143"/>
    </row>
    <row r="18" spans="1:23" ht="20.100000000000001" customHeight="1">
      <c r="A18" s="152"/>
      <c r="B18" s="158"/>
      <c r="C18" s="160"/>
      <c r="D18" s="160"/>
      <c r="E18" s="161"/>
      <c r="F18" s="152"/>
      <c r="G18" s="137">
        <v>150101</v>
      </c>
      <c r="H18" s="194" t="s">
        <v>165</v>
      </c>
      <c r="I18" s="127">
        <v>0.80820000000000003</v>
      </c>
      <c r="V18" s="143"/>
      <c r="W18" s="143"/>
    </row>
    <row r="19" spans="1:23" ht="20.100000000000001" customHeight="1" thickBot="1">
      <c r="A19" s="184" t="s">
        <v>264</v>
      </c>
      <c r="B19" s="131"/>
      <c r="C19" s="152" t="s">
        <v>20</v>
      </c>
      <c r="D19" s="152" t="s">
        <v>20</v>
      </c>
      <c r="E19" s="151" t="s">
        <v>20</v>
      </c>
      <c r="F19" s="152"/>
      <c r="G19" s="137">
        <v>200138</v>
      </c>
      <c r="H19" s="194" t="s">
        <v>167</v>
      </c>
      <c r="I19" s="127">
        <v>0.27600000000000002</v>
      </c>
      <c r="V19" s="143"/>
      <c r="W19" s="143"/>
    </row>
    <row r="20" spans="1:23" ht="20.100000000000001" customHeight="1" thickBot="1">
      <c r="A20" s="128" t="s">
        <v>381</v>
      </c>
      <c r="B20" s="131"/>
      <c r="C20" s="162" t="s">
        <v>297</v>
      </c>
      <c r="D20" s="355" t="s">
        <v>232</v>
      </c>
      <c r="E20" s="163" t="s">
        <v>182</v>
      </c>
      <c r="F20" s="164"/>
      <c r="G20" s="137">
        <v>170405</v>
      </c>
      <c r="H20" s="194" t="s">
        <v>168</v>
      </c>
      <c r="I20" s="129">
        <v>0.91595000000000004</v>
      </c>
      <c r="V20" s="143"/>
      <c r="W20" s="143"/>
    </row>
    <row r="21" spans="1:23" ht="20.100000000000001" customHeight="1" thickBot="1">
      <c r="A21" s="165" t="s">
        <v>178</v>
      </c>
      <c r="B21" s="130" t="s">
        <v>176</v>
      </c>
      <c r="C21" s="182" t="s">
        <v>169</v>
      </c>
      <c r="D21" s="135"/>
      <c r="E21" s="166"/>
      <c r="F21" s="152"/>
      <c r="G21" s="137">
        <v>150110</v>
      </c>
      <c r="H21" s="195" t="s">
        <v>170</v>
      </c>
      <c r="I21" s="129">
        <v>0</v>
      </c>
    </row>
    <row r="22" spans="1:23" ht="20.100000000000001" customHeight="1" thickBot="1">
      <c r="A22" s="165"/>
      <c r="B22" s="131"/>
      <c r="C22" s="167">
        <v>95</v>
      </c>
      <c r="D22" s="168">
        <f>E23-C22</f>
        <v>5</v>
      </c>
      <c r="E22" s="233"/>
      <c r="F22" s="152"/>
      <c r="G22" s="137">
        <v>200301</v>
      </c>
      <c r="H22" s="194" t="s">
        <v>171</v>
      </c>
      <c r="I22" s="129">
        <v>0.85</v>
      </c>
    </row>
    <row r="23" spans="1:23" ht="20.100000000000001" customHeight="1" thickBot="1">
      <c r="A23" s="152"/>
      <c r="B23" s="132"/>
      <c r="C23" s="268"/>
      <c r="D23" s="268"/>
      <c r="E23" s="169">
        <v>100</v>
      </c>
      <c r="F23" s="170"/>
      <c r="G23" s="137">
        <v>200307</v>
      </c>
      <c r="H23" s="194" t="s">
        <v>172</v>
      </c>
      <c r="I23" s="129">
        <v>0</v>
      </c>
    </row>
    <row r="24" spans="1:23" ht="20.100000000000001" customHeight="1" thickBot="1">
      <c r="A24" s="152"/>
      <c r="B24" s="131" t="s">
        <v>194</v>
      </c>
      <c r="C24" s="186" t="s">
        <v>169</v>
      </c>
      <c r="D24" s="152"/>
      <c r="E24" s="151"/>
      <c r="F24" s="152"/>
      <c r="G24" s="137">
        <v>150202</v>
      </c>
      <c r="H24" s="196" t="s">
        <v>190</v>
      </c>
      <c r="I24" s="133">
        <v>0</v>
      </c>
    </row>
    <row r="25" spans="1:23" ht="20.100000000000001" customHeight="1" thickBot="1">
      <c r="A25" s="152"/>
      <c r="B25" s="131"/>
      <c r="C25" s="171">
        <v>20</v>
      </c>
      <c r="D25" s="168">
        <f>E26-C25</f>
        <v>80</v>
      </c>
      <c r="E25" s="233"/>
      <c r="F25" s="152"/>
      <c r="G25" s="172"/>
      <c r="H25" s="173"/>
      <c r="I25" s="174"/>
    </row>
    <row r="26" spans="1:23" ht="20.100000000000001" customHeight="1" thickBot="1">
      <c r="A26" s="152"/>
      <c r="B26" s="131"/>
      <c r="C26" s="152"/>
      <c r="D26" s="152"/>
      <c r="E26" s="269">
        <v>100</v>
      </c>
      <c r="H26" s="143"/>
    </row>
    <row r="27" spans="1:23" ht="20.100000000000001" customHeight="1" thickBot="1">
      <c r="A27" s="152"/>
      <c r="B27" s="183" t="s">
        <v>173</v>
      </c>
      <c r="C27" s="367" t="s">
        <v>169</v>
      </c>
      <c r="D27" s="270"/>
      <c r="E27" s="177"/>
      <c r="H27" s="143"/>
    </row>
    <row r="28" spans="1:23" ht="20.100000000000001" customHeight="1" thickBot="1">
      <c r="A28" s="152"/>
      <c r="B28" s="237"/>
      <c r="C28" s="175">
        <v>99</v>
      </c>
      <c r="D28" s="176">
        <f>E29-C28</f>
        <v>1</v>
      </c>
      <c r="E28" s="177"/>
      <c r="H28" s="143"/>
    </row>
    <row r="29" spans="1:23" ht="20.100000000000001" customHeight="1" thickBot="1">
      <c r="B29" s="172"/>
      <c r="C29" s="232"/>
      <c r="D29" s="232"/>
      <c r="E29" s="177">
        <v>100</v>
      </c>
      <c r="H29" s="143"/>
    </row>
    <row r="30" spans="1:23" ht="20.100000000000001" customHeight="1" thickBot="1">
      <c r="A30" s="186" t="s">
        <v>193</v>
      </c>
    </row>
    <row r="31" spans="1:23" ht="20.100000000000001" customHeight="1">
      <c r="A31" s="212" t="s">
        <v>279</v>
      </c>
      <c r="B31" s="215" t="s">
        <v>231</v>
      </c>
      <c r="C31" s="214"/>
      <c r="D31" s="215" t="s">
        <v>152</v>
      </c>
      <c r="E31" s="215" t="s">
        <v>153</v>
      </c>
      <c r="F31" s="215" t="s">
        <v>149</v>
      </c>
      <c r="G31" s="215" t="s">
        <v>150</v>
      </c>
      <c r="H31" s="215" t="s">
        <v>148</v>
      </c>
      <c r="I31" s="215" t="s">
        <v>202</v>
      </c>
    </row>
    <row r="32" spans="1:23" ht="20.100000000000001" customHeight="1">
      <c r="A32" s="213" t="s">
        <v>177</v>
      </c>
      <c r="B32" s="347" t="s">
        <v>194</v>
      </c>
      <c r="C32" s="216">
        <f>E7</f>
        <v>3.2328000000000001</v>
      </c>
      <c r="D32" s="217">
        <f>C32*Zeme21!C17</f>
        <v>1.3702696349065004</v>
      </c>
      <c r="E32" s="216">
        <f>C32*Zeme21!C18</f>
        <v>0.67170080142475508</v>
      </c>
      <c r="F32" s="216">
        <f>C32*Zeme21!C19</f>
        <v>0.77725378450578819</v>
      </c>
      <c r="G32" s="216">
        <f>C32*Zeme21!C20</f>
        <v>0.3176185218165628</v>
      </c>
      <c r="H32" s="216">
        <f>C32*Zeme21!C21</f>
        <v>9.5957257346393598E-2</v>
      </c>
      <c r="I32" s="217">
        <f>SUM(E32:H32)</f>
        <v>1.8625303650934997</v>
      </c>
      <c r="J32" s="211"/>
    </row>
    <row r="33" spans="1:26" ht="20.100000000000001" customHeight="1">
      <c r="A33" s="150" t="s">
        <v>175</v>
      </c>
      <c r="B33" s="218" t="s">
        <v>176</v>
      </c>
      <c r="C33" s="219">
        <f>D7</f>
        <v>1.5078947368421081E-2</v>
      </c>
      <c r="D33" s="220">
        <f>C33*Zeme21!C17</f>
        <v>6.3914327225008316E-3</v>
      </c>
      <c r="E33" s="219">
        <f>C33*Zeme21!C18</f>
        <v>3.1330552561278585E-3</v>
      </c>
      <c r="F33" s="219">
        <f>C33*Zeme21!C19</f>
        <v>3.6253925106622372E-3</v>
      </c>
      <c r="G33" s="219">
        <f>C33*Zeme21!C20</f>
        <v>1.4814875568261731E-3</v>
      </c>
      <c r="H33" s="219">
        <f>C33*Zeme21!C21</f>
        <v>4.4757932230397987E-4</v>
      </c>
      <c r="I33" s="220">
        <f>SUM(E33:H33)</f>
        <v>8.6875146459202499E-3</v>
      </c>
    </row>
    <row r="34" spans="1:26" ht="20.100000000000001" customHeight="1">
      <c r="B34" s="362" t="s">
        <v>213</v>
      </c>
      <c r="C34" s="363">
        <f>F7</f>
        <v>2.7878787878787836E-3</v>
      </c>
      <c r="D34" s="364">
        <f>C34*Zeme21!C17</f>
        <v>1.1816832618257354E-3</v>
      </c>
      <c r="E34" s="363">
        <f>C34*Zeme21!C18</f>
        <v>5.792565008949684E-4</v>
      </c>
      <c r="F34" s="363">
        <f>C34*Zeme21!C19</f>
        <v>6.7028252246417773E-4</v>
      </c>
      <c r="G34" s="363">
        <f>C34*Zeme21!C20</f>
        <v>2.7390557399462078E-4</v>
      </c>
      <c r="H34" s="363">
        <f>C34*Zeme21!C21</f>
        <v>8.2750928699281206E-5</v>
      </c>
      <c r="I34" s="364">
        <f>SUM(E34:H34)</f>
        <v>1.6061955260530483E-3</v>
      </c>
      <c r="J34" s="178"/>
    </row>
    <row r="35" spans="1:26" ht="20.100000000000001" customHeight="1">
      <c r="U35" s="180"/>
      <c r="V35" s="180"/>
      <c r="W35" s="180"/>
      <c r="Y35" s="179"/>
      <c r="Z35" s="179"/>
    </row>
    <row r="36" spans="1:26">
      <c r="U36" s="180"/>
      <c r="V36" s="180"/>
      <c r="W36" s="180"/>
    </row>
    <row r="37" spans="1:26">
      <c r="U37" s="180"/>
      <c r="V37" s="180"/>
      <c r="W37" s="179"/>
    </row>
    <row r="38" spans="1:26">
      <c r="U38" s="180"/>
      <c r="V38" s="180"/>
      <c r="W38" s="179"/>
      <c r="Y38" s="179"/>
      <c r="Z38" s="179"/>
    </row>
    <row r="39" spans="1:26">
      <c r="U39" s="180"/>
      <c r="V39" s="180"/>
      <c r="W39" s="179"/>
      <c r="X39" s="179"/>
    </row>
    <row r="40" spans="1:26">
      <c r="U40" s="180"/>
      <c r="V40" s="180"/>
      <c r="W40" s="179"/>
      <c r="X40" s="179"/>
    </row>
    <row r="41" spans="1:26">
      <c r="V41" s="180"/>
      <c r="W41" s="180"/>
      <c r="X41" s="179"/>
    </row>
    <row r="42" spans="1:26">
      <c r="V42" s="180"/>
      <c r="W42" s="180"/>
      <c r="X42" s="179"/>
    </row>
    <row r="43" spans="1:26">
      <c r="V43" s="180"/>
      <c r="W43" s="180"/>
      <c r="X43" s="179"/>
    </row>
    <row r="44" spans="1:26">
      <c r="V44" s="180"/>
      <c r="W44" s="180"/>
      <c r="X44" s="179"/>
    </row>
    <row r="45" spans="1:26">
      <c r="V45" s="180"/>
      <c r="W45" s="180"/>
      <c r="X45" s="179"/>
    </row>
    <row r="46" spans="1:26">
      <c r="V46" s="180"/>
      <c r="W46" s="180"/>
      <c r="X46" s="179"/>
    </row>
    <row r="47" spans="1:26">
      <c r="V47" s="180"/>
      <c r="W47" s="180"/>
      <c r="X47" s="179"/>
    </row>
  </sheetData>
  <pageMargins left="0.75" right="0.75" top="1" bottom="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06824-4FD4-4B03-B0A5-518503982A5E}">
  <sheetPr>
    <tabColor theme="0" tint="-0.249977111117893"/>
  </sheetPr>
  <dimension ref="B1:K22"/>
  <sheetViews>
    <sheetView zoomScale="90" zoomScaleNormal="90" workbookViewId="0">
      <selection activeCell="W31" sqref="W31"/>
    </sheetView>
  </sheetViews>
  <sheetFormatPr defaultColWidth="8.88671875" defaultRowHeight="14.4"/>
  <cols>
    <col min="1" max="1" width="8.88671875" style="17"/>
    <col min="2" max="2" width="17" style="17" customWidth="1"/>
    <col min="3" max="3" width="13.88671875" style="17" customWidth="1"/>
    <col min="4" max="4" width="12.6640625" style="17" customWidth="1"/>
    <col min="5" max="5" width="9.5546875" style="17" customWidth="1"/>
    <col min="6" max="6" width="10.88671875" style="17" customWidth="1"/>
    <col min="7" max="7" width="8.88671875" style="17"/>
    <col min="8" max="8" width="9.6640625" style="17" bestFit="1" customWidth="1"/>
    <col min="9" max="9" width="9.6640625" style="17" customWidth="1"/>
    <col min="10" max="10" width="10.33203125" style="17" customWidth="1"/>
    <col min="11" max="11" width="8.88671875" style="17"/>
    <col min="12" max="13" width="10.44140625" style="17" bestFit="1" customWidth="1"/>
    <col min="14" max="14" width="10.109375" style="17" customWidth="1"/>
    <col min="15" max="15" width="9.33203125" style="17" bestFit="1" customWidth="1"/>
    <col min="16" max="16384" width="8.88671875" style="17"/>
  </cols>
  <sheetData>
    <row r="1" spans="2:11" ht="15" thickBot="1"/>
    <row r="2" spans="2:11" ht="18.600000000000001" thickBot="1">
      <c r="B2" s="107" t="s">
        <v>227</v>
      </c>
      <c r="C2" s="265"/>
      <c r="D2" s="91"/>
    </row>
    <row r="3" spans="2:11" ht="36.6" thickBot="1">
      <c r="B3" s="264" t="s">
        <v>268</v>
      </c>
      <c r="C3" s="101">
        <f>SUM(C4:C8)</f>
        <v>6.1720000000000006</v>
      </c>
      <c r="D3" s="92">
        <v>1</v>
      </c>
      <c r="K3" s="93"/>
    </row>
    <row r="4" spans="2:11" ht="25.5" customHeight="1" thickBot="1">
      <c r="B4" s="126" t="s">
        <v>152</v>
      </c>
      <c r="C4" s="99">
        <v>2.8559999999999999</v>
      </c>
      <c r="D4" s="91"/>
    </row>
    <row r="5" spans="2:11" ht="18">
      <c r="B5" s="102" t="s">
        <v>153</v>
      </c>
      <c r="C5" s="103">
        <v>1.2010000000000001</v>
      </c>
      <c r="D5" s="91"/>
    </row>
    <row r="6" spans="2:11" ht="22.5" customHeight="1">
      <c r="B6" s="104" t="s">
        <v>149</v>
      </c>
      <c r="C6" s="100">
        <v>1.32</v>
      </c>
      <c r="D6" s="91"/>
    </row>
    <row r="7" spans="2:11" ht="21.75" customHeight="1">
      <c r="B7" s="104" t="s">
        <v>150</v>
      </c>
      <c r="C7" s="100">
        <v>0.56200000000000006</v>
      </c>
      <c r="D7" s="91"/>
    </row>
    <row r="8" spans="2:11" ht="21.75" customHeight="1">
      <c r="B8" s="104" t="s">
        <v>148</v>
      </c>
      <c r="C8" s="100">
        <v>0.23300000000000001</v>
      </c>
      <c r="D8" s="91"/>
    </row>
    <row r="9" spans="2:11" ht="21.75" customHeight="1" thickBot="1">
      <c r="B9" s="104" t="s">
        <v>206</v>
      </c>
      <c r="C9" s="100">
        <v>0.115</v>
      </c>
      <c r="D9" s="91"/>
    </row>
    <row r="10" spans="2:11" ht="22.5" customHeight="1" thickBot="1">
      <c r="B10" s="105" t="s">
        <v>154</v>
      </c>
      <c r="C10" s="106">
        <f>SUM(C5:C8)</f>
        <v>3.3160000000000003</v>
      </c>
    </row>
    <row r="13" spans="2:11" ht="18">
      <c r="B13" s="94" t="s">
        <v>269</v>
      </c>
      <c r="C13" s="95"/>
    </row>
    <row r="14" spans="2:11" ht="18">
      <c r="B14" s="95"/>
      <c r="C14" s="95">
        <v>2021</v>
      </c>
      <c r="D14" s="17">
        <v>2020</v>
      </c>
    </row>
    <row r="15" spans="2:11" ht="18">
      <c r="B15" s="95" t="s">
        <v>155</v>
      </c>
      <c r="C15" s="95" t="s">
        <v>151</v>
      </c>
    </row>
    <row r="16" spans="2:11" ht="18">
      <c r="B16" s="95"/>
      <c r="C16" s="95" t="s">
        <v>42</v>
      </c>
    </row>
    <row r="17" spans="2:4" ht="18">
      <c r="B17" s="96" t="s">
        <v>152</v>
      </c>
      <c r="C17" s="97">
        <f>1/(C3/C4)</f>
        <v>0.46273493195074522</v>
      </c>
      <c r="D17" s="98">
        <v>0.18039149061899801</v>
      </c>
    </row>
    <row r="18" spans="2:4" ht="18">
      <c r="B18" s="96" t="s">
        <v>153</v>
      </c>
      <c r="C18" s="97">
        <f>1/(C3/C5)</f>
        <v>0.19458846403110822</v>
      </c>
      <c r="D18" s="98">
        <v>0.14448219825675876</v>
      </c>
    </row>
    <row r="19" spans="2:4" ht="18">
      <c r="B19" s="96" t="s">
        <v>149</v>
      </c>
      <c r="C19" s="97">
        <f>1/(C3/C6)</f>
        <v>0.21386908619572262</v>
      </c>
      <c r="D19" s="98">
        <v>0.38247894814595951</v>
      </c>
    </row>
    <row r="20" spans="2:4" ht="18">
      <c r="B20" s="96" t="s">
        <v>150</v>
      </c>
      <c r="C20" s="97">
        <f>1/(C3/C7)</f>
        <v>9.1056383668178864E-2</v>
      </c>
      <c r="D20" s="98">
        <v>0.18924508790072389</v>
      </c>
    </row>
    <row r="21" spans="2:4" ht="18">
      <c r="B21" s="96" t="s">
        <v>148</v>
      </c>
      <c r="C21" s="97">
        <f>1/(C3/C8)</f>
        <v>3.7751134154244977E-2</v>
      </c>
      <c r="D21" s="98">
        <v>3.3402275077559003E-2</v>
      </c>
    </row>
    <row r="22" spans="2:4" ht="18">
      <c r="B22" s="96" t="s">
        <v>207</v>
      </c>
      <c r="C22" s="97">
        <f>1/(C4/C9)</f>
        <v>4.0266106442577033E-2</v>
      </c>
      <c r="D22" s="98">
        <v>1.03340227507756</v>
      </c>
    </row>
  </sheetData>
  <pageMargins left="0.75" right="0.75" top="1" bottom="1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CC618-0587-448C-BA42-872AB5E88CE3}">
  <sheetPr>
    <tabColor theme="0" tint="-0.249977111117893"/>
  </sheetPr>
  <dimension ref="B1:K22"/>
  <sheetViews>
    <sheetView zoomScale="90" zoomScaleNormal="90" workbookViewId="0">
      <selection activeCell="C25" sqref="C25"/>
    </sheetView>
  </sheetViews>
  <sheetFormatPr defaultColWidth="8.88671875" defaultRowHeight="14.4"/>
  <cols>
    <col min="1" max="1" width="8.88671875" style="17"/>
    <col min="2" max="2" width="17" style="17" customWidth="1"/>
    <col min="3" max="3" width="13.88671875" style="17" customWidth="1"/>
    <col min="4" max="4" width="12.6640625" style="17" customWidth="1"/>
    <col min="5" max="5" width="9.5546875" style="17" customWidth="1"/>
    <col min="6" max="6" width="10.88671875" style="17" customWidth="1"/>
    <col min="7" max="7" width="8.88671875" style="17"/>
    <col min="8" max="8" width="9.6640625" style="17" bestFit="1" customWidth="1"/>
    <col min="9" max="9" width="9.6640625" style="17" customWidth="1"/>
    <col min="10" max="10" width="10.33203125" style="17" customWidth="1"/>
    <col min="11" max="11" width="8.88671875" style="17"/>
    <col min="12" max="13" width="10.44140625" style="17" bestFit="1" customWidth="1"/>
    <col min="14" max="14" width="10.109375" style="17" customWidth="1"/>
    <col min="15" max="15" width="9.33203125" style="17" bestFit="1" customWidth="1"/>
    <col min="16" max="16384" width="8.88671875" style="17"/>
  </cols>
  <sheetData>
    <row r="1" spans="2:11" ht="15" thickBot="1"/>
    <row r="2" spans="2:11" ht="18.600000000000001" thickBot="1">
      <c r="B2" s="107" t="s">
        <v>227</v>
      </c>
      <c r="C2" s="265"/>
      <c r="D2" s="91"/>
    </row>
    <row r="3" spans="2:11" ht="36.6" thickBot="1">
      <c r="B3" s="264" t="s">
        <v>268</v>
      </c>
      <c r="C3" s="101">
        <f>SUM(C4:C8)</f>
        <v>6.2509999999999994</v>
      </c>
      <c r="D3" s="92">
        <v>1</v>
      </c>
      <c r="K3" s="93"/>
    </row>
    <row r="4" spans="2:11" ht="25.5" customHeight="1" thickBot="1">
      <c r="B4" s="126" t="s">
        <v>152</v>
      </c>
      <c r="C4" s="99">
        <v>2.8559999999999999</v>
      </c>
      <c r="D4" s="91"/>
    </row>
    <row r="5" spans="2:11" ht="18">
      <c r="B5" s="102" t="s">
        <v>153</v>
      </c>
      <c r="C5" s="103">
        <v>1.2</v>
      </c>
      <c r="D5" s="91"/>
    </row>
    <row r="6" spans="2:11" ht="22.5" customHeight="1">
      <c r="B6" s="104" t="s">
        <v>149</v>
      </c>
      <c r="C6" s="100">
        <v>1.3</v>
      </c>
      <c r="D6" s="91"/>
    </row>
    <row r="7" spans="2:11" ht="21.75" customHeight="1">
      <c r="B7" s="104" t="s">
        <v>150</v>
      </c>
      <c r="C7" s="100">
        <v>0.66200000000000003</v>
      </c>
      <c r="D7" s="91"/>
    </row>
    <row r="8" spans="2:11" ht="21.75" customHeight="1">
      <c r="B8" s="104" t="s">
        <v>148</v>
      </c>
      <c r="C8" s="100">
        <v>0.23300000000000001</v>
      </c>
      <c r="D8" s="91"/>
    </row>
    <row r="9" spans="2:11" ht="21.75" customHeight="1" thickBot="1">
      <c r="B9" s="104" t="s">
        <v>206</v>
      </c>
      <c r="C9" s="100">
        <v>0.13500000000000001</v>
      </c>
      <c r="D9" s="91"/>
    </row>
    <row r="10" spans="2:11" ht="22.5" customHeight="1" thickBot="1">
      <c r="B10" s="105" t="s">
        <v>154</v>
      </c>
      <c r="C10" s="106">
        <f>SUM(C5:C8)</f>
        <v>3.395</v>
      </c>
    </row>
    <row r="13" spans="2:11" ht="18">
      <c r="B13" s="94" t="s">
        <v>269</v>
      </c>
      <c r="C13" s="95"/>
    </row>
    <row r="14" spans="2:11" ht="18">
      <c r="B14" s="95"/>
      <c r="C14" s="95">
        <v>2022</v>
      </c>
      <c r="D14" s="17">
        <v>2020</v>
      </c>
    </row>
    <row r="15" spans="2:11" ht="18">
      <c r="B15" s="95" t="s">
        <v>155</v>
      </c>
      <c r="C15" s="95" t="s">
        <v>151</v>
      </c>
    </row>
    <row r="16" spans="2:11" ht="18">
      <c r="B16" s="95"/>
      <c r="C16" s="95" t="s">
        <v>42</v>
      </c>
    </row>
    <row r="17" spans="2:4" ht="18">
      <c r="B17" s="96" t="s">
        <v>152</v>
      </c>
      <c r="C17" s="97">
        <f>1/(C3/C4)</f>
        <v>0.45688689809630462</v>
      </c>
      <c r="D17" s="98">
        <v>0.18039149061899801</v>
      </c>
    </row>
    <row r="18" spans="2:4" ht="18">
      <c r="B18" s="96" t="s">
        <v>153</v>
      </c>
      <c r="C18" s="97">
        <f>1/(C3/C5)</f>
        <v>0.1919692849144137</v>
      </c>
      <c r="D18" s="98">
        <v>0.14448219825675876</v>
      </c>
    </row>
    <row r="19" spans="2:4" ht="18">
      <c r="B19" s="96" t="s">
        <v>149</v>
      </c>
      <c r="C19" s="97">
        <f>1/(C3/C6)</f>
        <v>0.20796672532394819</v>
      </c>
      <c r="D19" s="98">
        <v>0.38247894814595951</v>
      </c>
    </row>
    <row r="20" spans="2:4" ht="18">
      <c r="B20" s="96" t="s">
        <v>150</v>
      </c>
      <c r="C20" s="97">
        <f>1/(C3/C7)</f>
        <v>0.10590305551111824</v>
      </c>
      <c r="D20" s="98">
        <v>0.18924508790072389</v>
      </c>
    </row>
    <row r="21" spans="2:4" ht="18">
      <c r="B21" s="96" t="s">
        <v>148</v>
      </c>
      <c r="C21" s="97">
        <f>1/(C3/C8)</f>
        <v>3.7274036154215331E-2</v>
      </c>
      <c r="D21" s="98">
        <v>3.3402275077559003E-2</v>
      </c>
    </row>
    <row r="22" spans="2:4" ht="18">
      <c r="B22" s="96" t="s">
        <v>207</v>
      </c>
      <c r="C22" s="97">
        <f>1/(C4/C9)</f>
        <v>4.7268907563025223E-2</v>
      </c>
      <c r="D22" s="98">
        <v>1.03340227507756</v>
      </c>
    </row>
  </sheetData>
  <pageMargins left="0.75" right="0.75" top="1" bottom="1" header="0.5" footer="0.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theme="0"/>
  </sheetPr>
  <dimension ref="A1:AU27"/>
  <sheetViews>
    <sheetView zoomScale="80" zoomScaleNormal="80" workbookViewId="0">
      <selection activeCell="R7" sqref="R7"/>
    </sheetView>
  </sheetViews>
  <sheetFormatPr defaultColWidth="8.88671875" defaultRowHeight="14.4"/>
  <cols>
    <col min="1" max="2" width="3.6640625" customWidth="1"/>
    <col min="3" max="3" width="8" style="2" customWidth="1"/>
    <col min="4" max="4" width="3.6640625" style="8" customWidth="1"/>
    <col min="5" max="5" width="10.33203125" style="2" customWidth="1"/>
    <col min="6" max="7" width="8.6640625" customWidth="1"/>
    <col min="8" max="8" width="8.6640625" style="2" customWidth="1"/>
    <col min="9" max="9" width="3.6640625" customWidth="1"/>
    <col min="10" max="10" width="8.6640625" customWidth="1"/>
    <col min="11" max="11" width="8.6640625" style="2" customWidth="1"/>
    <col min="12" max="12" width="8.6640625" style="71" customWidth="1"/>
    <col min="13" max="13" width="3.6640625" customWidth="1"/>
    <col min="14" max="14" width="8.6640625" customWidth="1"/>
    <col min="15" max="15" width="8.6640625" style="2" customWidth="1"/>
    <col min="16" max="16" width="8.6640625" style="71" customWidth="1"/>
    <col min="17" max="17" width="3.6640625" style="71" customWidth="1"/>
    <col min="18" max="18" width="8.6640625" customWidth="1"/>
    <col min="19" max="19" width="8.6640625" style="2" customWidth="1"/>
    <col min="20" max="20" width="8.6640625" customWidth="1"/>
    <col min="21" max="21" width="3.6640625" customWidth="1"/>
    <col min="22" max="22" width="8.6640625" style="2" customWidth="1"/>
    <col min="23" max="23" width="8.6640625" style="304" customWidth="1"/>
    <col min="24" max="24" width="8.6640625" style="71" customWidth="1"/>
    <col min="25" max="25" width="3.6640625" customWidth="1"/>
    <col min="26" max="26" width="8.6640625" style="6" customWidth="1"/>
    <col min="27" max="27" width="8.6640625" style="2" customWidth="1"/>
    <col min="28" max="28" width="8.6640625" customWidth="1"/>
    <col min="29" max="29" width="3.6640625" customWidth="1"/>
    <col min="30" max="30" width="8.6640625" style="6" customWidth="1"/>
    <col min="31" max="31" width="8.6640625" style="304" customWidth="1"/>
    <col min="32" max="32" width="8.6640625" customWidth="1"/>
    <col min="33" max="33" width="3.6640625" customWidth="1"/>
    <col min="34" max="34" width="8.6640625" customWidth="1"/>
    <col min="35" max="35" width="8.6640625" style="2" customWidth="1"/>
    <col min="36" max="36" width="8.6640625" style="71" customWidth="1"/>
    <col min="37" max="37" width="3.6640625" customWidth="1"/>
    <col min="38" max="38" width="8.6640625" style="2" customWidth="1"/>
    <col min="39" max="39" width="3.6640625" customWidth="1"/>
    <col min="40" max="40" width="13.44140625" customWidth="1"/>
    <col min="41" max="41" width="8.6640625" customWidth="1"/>
    <col min="42" max="42" width="9.44140625" customWidth="1"/>
    <col min="43" max="43" width="8.6640625" customWidth="1"/>
    <col min="44" max="44" width="3.88671875" customWidth="1"/>
  </cols>
  <sheetData>
    <row r="1" spans="1:47" ht="24.75" customHeight="1" thickBot="1">
      <c r="E1" s="342"/>
      <c r="F1" s="301"/>
      <c r="G1" s="296"/>
      <c r="H1" s="297"/>
      <c r="I1" s="296"/>
      <c r="J1" s="296"/>
      <c r="K1" s="297"/>
      <c r="L1" s="298"/>
      <c r="M1" s="296"/>
      <c r="N1" s="300" t="s">
        <v>342</v>
      </c>
      <c r="O1" s="297"/>
      <c r="P1" s="298"/>
      <c r="Q1" s="298"/>
      <c r="R1" s="296"/>
      <c r="S1" s="297"/>
      <c r="T1" s="296"/>
      <c r="U1" s="296"/>
      <c r="V1" s="297"/>
      <c r="W1" s="303"/>
      <c r="X1" s="298"/>
      <c r="Y1" s="296"/>
      <c r="Z1" s="299"/>
      <c r="AA1" s="297"/>
      <c r="AB1" s="296"/>
      <c r="AC1" s="296"/>
      <c r="AD1" s="299"/>
      <c r="AE1" s="303"/>
      <c r="AF1" s="296"/>
      <c r="AG1" s="296"/>
      <c r="AH1" s="296"/>
      <c r="AI1" s="297"/>
      <c r="AJ1" s="298"/>
      <c r="AK1" s="296"/>
      <c r="AL1" s="297"/>
    </row>
    <row r="2" spans="1:47" s="311" customFormat="1" ht="129" customHeight="1">
      <c r="C2" s="312"/>
      <c r="D2" s="313"/>
      <c r="E2" s="334" t="s">
        <v>209</v>
      </c>
      <c r="F2" s="279" t="s">
        <v>35</v>
      </c>
      <c r="G2" s="280" t="s">
        <v>35</v>
      </c>
      <c r="H2" s="314" t="s">
        <v>218</v>
      </c>
      <c r="I2" s="315"/>
      <c r="J2" s="286" t="s">
        <v>223</v>
      </c>
      <c r="K2" s="316" t="s">
        <v>288</v>
      </c>
      <c r="L2" s="284" t="s">
        <v>294</v>
      </c>
      <c r="M2" s="317"/>
      <c r="N2" s="286" t="s">
        <v>49</v>
      </c>
      <c r="O2" s="316" t="s">
        <v>217</v>
      </c>
      <c r="P2" s="284" t="s">
        <v>67</v>
      </c>
      <c r="Q2" s="288"/>
      <c r="R2" s="318" t="s">
        <v>289</v>
      </c>
      <c r="S2" s="319" t="s">
        <v>286</v>
      </c>
      <c r="T2" s="320" t="s">
        <v>216</v>
      </c>
      <c r="U2" s="274"/>
      <c r="V2" s="318" t="s">
        <v>315</v>
      </c>
      <c r="W2" s="319" t="s">
        <v>287</v>
      </c>
      <c r="X2" s="321" t="s">
        <v>225</v>
      </c>
      <c r="Y2" s="322"/>
      <c r="Z2" s="323" t="s">
        <v>316</v>
      </c>
      <c r="AA2" s="324" t="s">
        <v>317</v>
      </c>
      <c r="AB2" s="325" t="s">
        <v>234</v>
      </c>
      <c r="AC2" s="340"/>
      <c r="AD2" s="323" t="s">
        <v>245</v>
      </c>
      <c r="AE2" s="324" t="s">
        <v>246</v>
      </c>
      <c r="AF2" s="325" t="s">
        <v>225</v>
      </c>
      <c r="AG2" s="317"/>
      <c r="AH2" s="292" t="s">
        <v>308</v>
      </c>
      <c r="AI2" s="326" t="s">
        <v>235</v>
      </c>
      <c r="AJ2" s="293" t="s">
        <v>296</v>
      </c>
      <c r="AK2" s="327"/>
      <c r="AL2" s="328" t="s">
        <v>39</v>
      </c>
      <c r="AM2" s="329"/>
      <c r="AN2" s="330"/>
      <c r="AO2" s="330"/>
      <c r="AP2" s="331"/>
      <c r="AQ2" s="294" t="s">
        <v>248</v>
      </c>
    </row>
    <row r="3" spans="1:47" s="277" customFormat="1" ht="81" customHeight="1" thickBot="1">
      <c r="B3" s="311" t="s">
        <v>6</v>
      </c>
      <c r="C3" s="278" t="s">
        <v>238</v>
      </c>
      <c r="D3" s="313" t="s">
        <v>237</v>
      </c>
      <c r="E3" s="333" t="s">
        <v>210</v>
      </c>
      <c r="F3" s="279" t="s">
        <v>219</v>
      </c>
      <c r="G3" s="280" t="s">
        <v>284</v>
      </c>
      <c r="H3" s="281" t="s">
        <v>307</v>
      </c>
      <c r="I3" s="282"/>
      <c r="J3" s="286" t="s">
        <v>7</v>
      </c>
      <c r="K3" s="287" t="s">
        <v>208</v>
      </c>
      <c r="L3" s="284" t="s">
        <v>68</v>
      </c>
      <c r="M3" s="285"/>
      <c r="N3" s="332" t="s">
        <v>221</v>
      </c>
      <c r="O3" s="283" t="s">
        <v>220</v>
      </c>
      <c r="P3" s="284" t="s">
        <v>222</v>
      </c>
      <c r="Q3" s="288"/>
      <c r="R3" s="289" t="s">
        <v>214</v>
      </c>
      <c r="S3" s="306" t="s">
        <v>290</v>
      </c>
      <c r="T3" s="273" t="s">
        <v>293</v>
      </c>
      <c r="U3" s="274"/>
      <c r="V3" s="290" t="s">
        <v>215</v>
      </c>
      <c r="W3" s="305" t="s">
        <v>290</v>
      </c>
      <c r="X3" s="275" t="s">
        <v>318</v>
      </c>
      <c r="Y3" s="276"/>
      <c r="Z3" s="289" t="s">
        <v>214</v>
      </c>
      <c r="AA3" s="306" t="s">
        <v>290</v>
      </c>
      <c r="AB3" s="273" t="s">
        <v>293</v>
      </c>
      <c r="AC3" s="341"/>
      <c r="AD3" s="310" t="s">
        <v>215</v>
      </c>
      <c r="AE3" s="305" t="s">
        <v>290</v>
      </c>
      <c r="AF3" s="275" t="s">
        <v>295</v>
      </c>
      <c r="AG3" s="291"/>
      <c r="AH3" s="292" t="s">
        <v>302</v>
      </c>
      <c r="AI3" s="308" t="s">
        <v>235</v>
      </c>
      <c r="AJ3" s="293" t="s">
        <v>224</v>
      </c>
      <c r="AK3" s="302"/>
      <c r="AL3" s="309" t="s">
        <v>291</v>
      </c>
      <c r="AM3" s="291"/>
      <c r="AN3" s="294" t="s">
        <v>236</v>
      </c>
      <c r="AO3" s="295" t="s">
        <v>228</v>
      </c>
      <c r="AP3" s="295" t="s">
        <v>230</v>
      </c>
      <c r="AQ3" s="294" t="s">
        <v>229</v>
      </c>
    </row>
    <row r="4" spans="1:47" ht="21" customHeight="1" thickBot="1">
      <c r="AF4" s="71"/>
      <c r="AP4" s="6"/>
    </row>
    <row r="5" spans="1:47" s="255" customFormat="1" ht="28.5" customHeight="1" thickBot="1">
      <c r="A5" s="249"/>
      <c r="B5" s="249" t="s">
        <v>292</v>
      </c>
      <c r="C5" s="250">
        <v>2021</v>
      </c>
      <c r="D5" s="251">
        <v>12</v>
      </c>
      <c r="E5" s="391">
        <f>(H5+K5+O5+S5+W5+AA5+AE5+AI5+AL5)</f>
        <v>108427.95550962504</v>
      </c>
      <c r="F5" s="256">
        <f>Auta21!$K$10</f>
        <v>23018.349000000002</v>
      </c>
      <c r="G5" s="256">
        <v>0</v>
      </c>
      <c r="H5" s="252">
        <f>F5-G5</f>
        <v>23018.349000000002</v>
      </c>
      <c r="I5" s="249"/>
      <c r="J5" s="257">
        <f>EnergiePlyn21!$I$19</f>
        <v>54.639999999999993</v>
      </c>
      <c r="K5" s="252">
        <f>J5*L5</f>
        <v>63928.799999999996</v>
      </c>
      <c r="L5" s="259">
        <v>1170</v>
      </c>
      <c r="M5" s="249"/>
      <c r="N5" s="253">
        <f>EnergiePlyn21!$P$19</f>
        <v>30.299999999999997</v>
      </c>
      <c r="O5" s="250">
        <f>N5*P5</f>
        <v>6059.9999999999991</v>
      </c>
      <c r="P5" s="259">
        <v>200</v>
      </c>
      <c r="Q5" s="254"/>
      <c r="R5" s="256">
        <f>Obaly21!$T$65</f>
        <v>338.31734187444351</v>
      </c>
      <c r="S5" s="252">
        <f>R5*T5</f>
        <v>71.723276477382029</v>
      </c>
      <c r="T5" s="254">
        <v>0.21199999999999999</v>
      </c>
      <c r="U5" s="254"/>
      <c r="V5" s="256">
        <f>Obaly21!$T$66</f>
        <v>10.66134767957851</v>
      </c>
      <c r="W5" s="252">
        <f>V5*X5</f>
        <v>63.968086077471057</v>
      </c>
      <c r="X5" s="259">
        <v>6</v>
      </c>
      <c r="Y5" s="254"/>
      <c r="Z5" s="257">
        <f>Odpady21!$D$32*1000</f>
        <v>1370.2696349065004</v>
      </c>
      <c r="AA5" s="259">
        <f>Z5*AB5</f>
        <v>290.49716260017806</v>
      </c>
      <c r="AB5" s="254">
        <f>T5</f>
        <v>0.21199999999999999</v>
      </c>
      <c r="AC5" s="254"/>
      <c r="AD5" s="257">
        <f>Odpady21!$D$33*1000</f>
        <v>6.3914327225008316</v>
      </c>
      <c r="AE5" s="359">
        <f>AD5*AF5</f>
        <v>38.348596335004991</v>
      </c>
      <c r="AF5" s="259">
        <f>X5</f>
        <v>6</v>
      </c>
      <c r="AG5" s="249"/>
      <c r="AH5" s="359">
        <f>Obaly21!$T$67+(Odpady21!$D$34*1000)</f>
        <v>1.3326811609853992</v>
      </c>
      <c r="AI5" s="359">
        <f>AH5*AJ5</f>
        <v>0.79960869659123956</v>
      </c>
      <c r="AJ5" s="259">
        <v>0.6</v>
      </c>
      <c r="AK5" s="249"/>
      <c r="AL5" s="252">
        <f>(H5+K5+O5+S5+W5+AA5+AE5)*0.16</f>
        <v>14955.469779438406</v>
      </c>
      <c r="AM5" s="249"/>
      <c r="AN5" s="260">
        <f>E5</f>
        <v>108427.95550962504</v>
      </c>
      <c r="AO5" s="261">
        <f>Zeme21!$C$4*1000</f>
        <v>2856</v>
      </c>
      <c r="AP5" s="263">
        <f>E5/AO5</f>
        <v>37.96497041653538</v>
      </c>
      <c r="AQ5" s="262">
        <f>AP5*0.98</f>
        <v>37.205671008204675</v>
      </c>
      <c r="AR5"/>
      <c r="AS5" s="8"/>
      <c r="AT5"/>
      <c r="AU5"/>
    </row>
    <row r="6" spans="1:47" s="255" customFormat="1" ht="28.5" customHeight="1" thickBot="1">
      <c r="A6" s="249"/>
      <c r="B6" s="249" t="s">
        <v>292</v>
      </c>
      <c r="C6" s="250">
        <v>2022</v>
      </c>
      <c r="D6" s="251">
        <v>12</v>
      </c>
      <c r="E6" s="391">
        <f>(H6+K6+O6+S6+W6+AA6+AE6+AI6+AL6)</f>
        <v>107285.94877210043</v>
      </c>
      <c r="F6" s="256">
        <f>Auta22!$K$10</f>
        <v>20018.349000000002</v>
      </c>
      <c r="G6" s="256">
        <v>0</v>
      </c>
      <c r="H6" s="252">
        <f>F6-G6</f>
        <v>20018.349000000002</v>
      </c>
      <c r="I6" s="249"/>
      <c r="J6" s="257">
        <f>EnergiePlyn22!$I$19</f>
        <v>55.669999999999995</v>
      </c>
      <c r="K6" s="252">
        <f>J6*L6</f>
        <v>65133.899999999994</v>
      </c>
      <c r="L6" s="259">
        <v>1170</v>
      </c>
      <c r="M6" s="249"/>
      <c r="N6" s="253">
        <f>EnergiePlyn22!$P$19</f>
        <v>30.4</v>
      </c>
      <c r="O6" s="250">
        <f>N6*P6</f>
        <v>6080</v>
      </c>
      <c r="P6" s="259">
        <v>200</v>
      </c>
      <c r="Q6" s="254"/>
      <c r="R6" s="256">
        <f>Obaly22!$T$65</f>
        <v>338.31734187444351</v>
      </c>
      <c r="S6" s="252">
        <f>R6*T6</f>
        <v>71.723276477382029</v>
      </c>
      <c r="T6" s="254">
        <v>0.21199999999999999</v>
      </c>
      <c r="U6" s="254"/>
      <c r="V6" s="256">
        <f>Obaly22!$T$66</f>
        <v>10.66134767957851</v>
      </c>
      <c r="W6" s="252">
        <f>V6*X6</f>
        <v>63.968086077471057</v>
      </c>
      <c r="X6" s="259">
        <v>6</v>
      </c>
      <c r="Y6" s="254"/>
      <c r="Z6" s="257">
        <f>Odpady22!$D$32*1000</f>
        <v>1370.2696349065004</v>
      </c>
      <c r="AA6" s="259">
        <f>Z6*AB6</f>
        <v>290.49716260017806</v>
      </c>
      <c r="AB6" s="254">
        <f>T6</f>
        <v>0.21199999999999999</v>
      </c>
      <c r="AC6" s="254"/>
      <c r="AD6" s="257">
        <f>Odpady22!$D$33*1000</f>
        <v>6.3914327225008316</v>
      </c>
      <c r="AE6" s="359">
        <f>AD6*AF6</f>
        <v>38.348596335004991</v>
      </c>
      <c r="AF6" s="259">
        <f>X6</f>
        <v>6</v>
      </c>
      <c r="AG6" s="249"/>
      <c r="AH6" s="359">
        <f>Obaly22!$T$67+(Odpady21!$D$34*1000)</f>
        <v>1.1816832618257354</v>
      </c>
      <c r="AI6" s="359">
        <f>AH6*AJ6</f>
        <v>0.70900995709544123</v>
      </c>
      <c r="AJ6" s="259">
        <v>0.6</v>
      </c>
      <c r="AK6" s="249"/>
      <c r="AL6" s="252">
        <f>(H6+K6+O6+S6+W6+AA6+AE6)*0.17</f>
        <v>15588.453640653306</v>
      </c>
      <c r="AM6" s="249"/>
      <c r="AN6" s="260">
        <f>E6</f>
        <v>107285.94877210043</v>
      </c>
      <c r="AO6" s="261">
        <f>Zeme22!$C$4*1000</f>
        <v>2856</v>
      </c>
      <c r="AP6" s="263">
        <f>E6/AO6</f>
        <v>37.565108113480541</v>
      </c>
      <c r="AQ6" s="262">
        <f>AP6*0.98</f>
        <v>36.813805951210931</v>
      </c>
      <c r="AR6"/>
      <c r="AS6" s="8"/>
      <c r="AT6"/>
      <c r="AU6"/>
    </row>
    <row r="7" spans="1:47" s="255" customFormat="1" ht="28.5" customHeight="1" thickBot="1">
      <c r="A7" s="249"/>
      <c r="B7" s="249" t="s">
        <v>292</v>
      </c>
      <c r="C7" s="250">
        <v>2023</v>
      </c>
      <c r="D7" s="251">
        <v>12</v>
      </c>
      <c r="E7" s="391">
        <f>(H7+K7+O7+S7+W7+AA7+AE7+AI7+AL7)</f>
        <v>108519.72781282336</v>
      </c>
      <c r="F7" s="256">
        <f>Auta23!$K$10</f>
        <v>18018.349000000002</v>
      </c>
      <c r="G7" s="256">
        <v>0</v>
      </c>
      <c r="H7" s="252">
        <f>F7-G7</f>
        <v>18018.349000000002</v>
      </c>
      <c r="I7" s="249"/>
      <c r="J7" s="257">
        <f>EnergiePlyn23!$I$19</f>
        <v>58.04</v>
      </c>
      <c r="K7" s="252">
        <f>J7*L7</f>
        <v>67906.8</v>
      </c>
      <c r="L7" s="259">
        <v>1170</v>
      </c>
      <c r="M7" s="249"/>
      <c r="N7" s="253">
        <f>EnergiePlyn23!$P$19</f>
        <v>30.4</v>
      </c>
      <c r="O7" s="250">
        <f>N7*P7</f>
        <v>6080</v>
      </c>
      <c r="P7" s="259">
        <v>200</v>
      </c>
      <c r="Q7" s="254"/>
      <c r="R7" s="256">
        <f>Obaly23!$T$65</f>
        <v>295.92918158949249</v>
      </c>
      <c r="S7" s="252">
        <f>R7*T7</f>
        <v>62.736986496972406</v>
      </c>
      <c r="T7" s="254">
        <v>0.21199999999999999</v>
      </c>
      <c r="U7" s="254"/>
      <c r="V7" s="256">
        <f>Obaly23!$T$66</f>
        <v>10.66134767957851</v>
      </c>
      <c r="W7" s="252">
        <f>V7*X7</f>
        <v>63.968086077471057</v>
      </c>
      <c r="X7" s="259">
        <v>6</v>
      </c>
      <c r="Y7" s="254"/>
      <c r="Z7" s="257">
        <f>Odpady23!$D$32*1000</f>
        <v>1370.2696349065004</v>
      </c>
      <c r="AA7" s="259">
        <f>Z7*AB7</f>
        <v>290.49716260017806</v>
      </c>
      <c r="AB7" s="254">
        <f>T7</f>
        <v>0.21199999999999999</v>
      </c>
      <c r="AC7" s="254"/>
      <c r="AD7" s="257">
        <f>Odpady23!$D$33*1000</f>
        <v>6.3914327225008316</v>
      </c>
      <c r="AE7" s="359">
        <f>AD7*AF7</f>
        <v>38.348596335004991</v>
      </c>
      <c r="AF7" s="259">
        <f>X7</f>
        <v>6</v>
      </c>
      <c r="AG7" s="249"/>
      <c r="AH7" s="359">
        <f>Obaly23!$T$67+(Odpady21!$D$34*1000)</f>
        <v>1.1816832618257354</v>
      </c>
      <c r="AI7" s="359">
        <f>AH7*AJ7</f>
        <v>0.70900995709544123</v>
      </c>
      <c r="AJ7" s="259">
        <v>0.6</v>
      </c>
      <c r="AK7" s="249"/>
      <c r="AL7" s="252">
        <f>(H6+K7+O7+S7+W7+AA7+AE7)*0.17</f>
        <v>16058.318971356637</v>
      </c>
      <c r="AM7" s="249"/>
      <c r="AN7" s="260">
        <f>E7</f>
        <v>108519.72781282336</v>
      </c>
      <c r="AO7" s="261">
        <f>Zeme23!$C$4*1000</f>
        <v>2856</v>
      </c>
      <c r="AP7" s="263">
        <f>E7/AO7</f>
        <v>37.997103575918544</v>
      </c>
      <c r="AQ7" s="262">
        <f>AP7*0.98</f>
        <v>37.23716150440017</v>
      </c>
      <c r="AR7"/>
      <c r="AS7" s="8"/>
      <c r="AT7"/>
      <c r="AU7"/>
    </row>
    <row r="25" spans="6:21">
      <c r="F25" s="378" t="s">
        <v>326</v>
      </c>
      <c r="R25" s="10"/>
      <c r="S25" s="307"/>
      <c r="T25" s="10"/>
      <c r="U25" s="10"/>
    </row>
    <row r="27" spans="6:21">
      <c r="F27">
        <v>2022</v>
      </c>
    </row>
  </sheetData>
  <hyperlinks>
    <hyperlink ref="F25" r:id="rId1" xr:uid="{C47BF945-60FA-4C21-BBF9-7E5875FCC250}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05414-AF5B-429B-9E6B-530354986AAB}">
  <sheetPr>
    <tabColor theme="0" tint="-0.249977111117893"/>
  </sheetPr>
  <dimension ref="B1:K22"/>
  <sheetViews>
    <sheetView zoomScale="90" zoomScaleNormal="90" workbookViewId="0">
      <selection activeCell="Q28" sqref="Q28"/>
    </sheetView>
  </sheetViews>
  <sheetFormatPr defaultColWidth="8.88671875" defaultRowHeight="14.4"/>
  <cols>
    <col min="1" max="1" width="8.88671875" style="17"/>
    <col min="2" max="2" width="17" style="17" customWidth="1"/>
    <col min="3" max="3" width="13.88671875" style="17" customWidth="1"/>
    <col min="4" max="4" width="12.6640625" style="17" customWidth="1"/>
    <col min="5" max="5" width="9.5546875" style="17" customWidth="1"/>
    <col min="6" max="6" width="10.88671875" style="17" customWidth="1"/>
    <col min="7" max="7" width="8.88671875" style="17"/>
    <col min="8" max="8" width="9.6640625" style="17" bestFit="1" customWidth="1"/>
    <col min="9" max="9" width="9.6640625" style="17" customWidth="1"/>
    <col min="10" max="10" width="10.33203125" style="17" customWidth="1"/>
    <col min="11" max="11" width="8.88671875" style="17"/>
    <col min="12" max="13" width="10.44140625" style="17" bestFit="1" customWidth="1"/>
    <col min="14" max="14" width="10.109375" style="17" customWidth="1"/>
    <col min="15" max="15" width="9.33203125" style="17" bestFit="1" customWidth="1"/>
    <col min="16" max="16384" width="8.88671875" style="17"/>
  </cols>
  <sheetData>
    <row r="1" spans="2:11" ht="15" thickBot="1"/>
    <row r="2" spans="2:11" ht="18.600000000000001" thickBot="1">
      <c r="B2" s="107" t="s">
        <v>227</v>
      </c>
      <c r="C2" s="265"/>
      <c r="D2" s="91"/>
    </row>
    <row r="3" spans="2:11" ht="36.6" thickBot="1">
      <c r="B3" s="264" t="s">
        <v>268</v>
      </c>
      <c r="C3" s="101">
        <f>SUM(C4:C8)</f>
        <v>6.7380000000000004</v>
      </c>
      <c r="D3" s="92">
        <v>1</v>
      </c>
      <c r="K3" s="93"/>
    </row>
    <row r="4" spans="2:11" ht="25.5" customHeight="1" thickBot="1">
      <c r="B4" s="126" t="s">
        <v>152</v>
      </c>
      <c r="C4" s="99">
        <v>2.8559999999999999</v>
      </c>
      <c r="D4" s="91"/>
    </row>
    <row r="5" spans="2:11" ht="18">
      <c r="B5" s="102" t="s">
        <v>153</v>
      </c>
      <c r="C5" s="103">
        <v>1.4</v>
      </c>
      <c r="D5" s="91"/>
    </row>
    <row r="6" spans="2:11" ht="22.5" customHeight="1">
      <c r="B6" s="104" t="s">
        <v>149</v>
      </c>
      <c r="C6" s="100">
        <v>1.62</v>
      </c>
      <c r="D6" s="91"/>
    </row>
    <row r="7" spans="2:11" ht="21.75" customHeight="1">
      <c r="B7" s="104" t="s">
        <v>150</v>
      </c>
      <c r="C7" s="100">
        <v>0.66200000000000003</v>
      </c>
      <c r="D7" s="91"/>
    </row>
    <row r="8" spans="2:11" ht="21.75" customHeight="1">
      <c r="B8" s="104" t="s">
        <v>148</v>
      </c>
      <c r="C8" s="100">
        <v>0.2</v>
      </c>
      <c r="D8" s="91"/>
    </row>
    <row r="9" spans="2:11" ht="21.75" customHeight="1" thickBot="1">
      <c r="B9" s="104" t="s">
        <v>206</v>
      </c>
      <c r="C9" s="100">
        <v>0.115</v>
      </c>
      <c r="D9" s="91"/>
    </row>
    <row r="10" spans="2:11" ht="22.5" customHeight="1" thickBot="1">
      <c r="B10" s="105" t="s">
        <v>154</v>
      </c>
      <c r="C10" s="106">
        <f>SUM(C5:C8)</f>
        <v>3.8820000000000001</v>
      </c>
    </row>
    <row r="13" spans="2:11" ht="18">
      <c r="B13" s="94" t="s">
        <v>269</v>
      </c>
      <c r="C13" s="95"/>
    </row>
    <row r="14" spans="2:11" ht="18">
      <c r="B14" s="95"/>
      <c r="C14" s="95">
        <v>2023</v>
      </c>
      <c r="D14" s="17">
        <v>2020</v>
      </c>
    </row>
    <row r="15" spans="2:11" ht="18">
      <c r="B15" s="95" t="s">
        <v>155</v>
      </c>
      <c r="C15" s="95" t="s">
        <v>151</v>
      </c>
    </row>
    <row r="16" spans="2:11" ht="18">
      <c r="B16" s="95"/>
      <c r="C16" s="95" t="s">
        <v>42</v>
      </c>
    </row>
    <row r="17" spans="2:4" ht="18">
      <c r="B17" s="96" t="s">
        <v>152</v>
      </c>
      <c r="C17" s="97">
        <f>1/(C3/C4)</f>
        <v>0.42386464826357967</v>
      </c>
      <c r="D17" s="98">
        <v>0.18039149061899801</v>
      </c>
    </row>
    <row r="18" spans="2:4" ht="18">
      <c r="B18" s="96" t="s">
        <v>153</v>
      </c>
      <c r="C18" s="97">
        <f>1/(C3/C5)</f>
        <v>0.20777678836449984</v>
      </c>
      <c r="D18" s="98">
        <v>0.14448219825675876</v>
      </c>
    </row>
    <row r="19" spans="2:4" ht="18">
      <c r="B19" s="96" t="s">
        <v>149</v>
      </c>
      <c r="C19" s="97">
        <f>1/(C3/C6)</f>
        <v>0.24042742653606414</v>
      </c>
      <c r="D19" s="98">
        <v>0.38247894814595951</v>
      </c>
    </row>
    <row r="20" spans="2:4" ht="18">
      <c r="B20" s="96" t="s">
        <v>150</v>
      </c>
      <c r="C20" s="97">
        <f>1/(C3/C7)</f>
        <v>9.8248738498070642E-2</v>
      </c>
      <c r="D20" s="98">
        <v>0.18924508790072389</v>
      </c>
    </row>
    <row r="21" spans="2:4" ht="18">
      <c r="B21" s="96" t="s">
        <v>148</v>
      </c>
      <c r="C21" s="97">
        <f>1/(C3/C8)</f>
        <v>2.9682398337785694E-2</v>
      </c>
      <c r="D21" s="98">
        <v>3.3402275077559003E-2</v>
      </c>
    </row>
    <row r="22" spans="2:4" ht="18">
      <c r="B22" s="96" t="s">
        <v>207</v>
      </c>
      <c r="C22" s="97">
        <f>1/(C4/C9)</f>
        <v>4.0266106442577033E-2</v>
      </c>
      <c r="D22" s="98">
        <v>1.03340227507756</v>
      </c>
    </row>
  </sheetData>
  <pageMargins left="0.75" right="0.75" top="1" bottom="1" header="0.5" footer="0.5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92D050"/>
  </sheetPr>
  <dimension ref="B3:D8"/>
  <sheetViews>
    <sheetView workbookViewId="0">
      <selection activeCell="H17" sqref="H17"/>
    </sheetView>
  </sheetViews>
  <sheetFormatPr defaultColWidth="9.109375" defaultRowHeight="14.4"/>
  <sheetData>
    <row r="3" spans="2:4">
      <c r="B3" t="s">
        <v>4</v>
      </c>
    </row>
    <row r="5" spans="2:4">
      <c r="B5" t="s">
        <v>5</v>
      </c>
    </row>
    <row r="7" spans="2:4">
      <c r="B7" s="370">
        <v>15</v>
      </c>
      <c r="C7" s="371" t="s">
        <v>20</v>
      </c>
      <c r="D7" s="369" t="s">
        <v>309</v>
      </c>
    </row>
    <row r="8" spans="2:4">
      <c r="B8" t="s">
        <v>386</v>
      </c>
    </row>
  </sheetData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/>
  <dimension ref="A1:T61"/>
  <sheetViews>
    <sheetView topLeftCell="B58" workbookViewId="0">
      <selection activeCell="J93" sqref="J93"/>
    </sheetView>
  </sheetViews>
  <sheetFormatPr defaultRowHeight="14.4"/>
  <sheetData>
    <row r="1" spans="2:18" ht="18">
      <c r="C1" s="354" t="s">
        <v>275</v>
      </c>
    </row>
    <row r="3" spans="2:18">
      <c r="H3" t="s">
        <v>50</v>
      </c>
    </row>
    <row r="4" spans="2:18" ht="15.6">
      <c r="C4" t="s">
        <v>25</v>
      </c>
      <c r="D4" t="s">
        <v>30</v>
      </c>
      <c r="E4" t="s">
        <v>21</v>
      </c>
      <c r="F4" t="s">
        <v>28</v>
      </c>
      <c r="G4" t="s">
        <v>31</v>
      </c>
      <c r="H4" t="s">
        <v>0</v>
      </c>
    </row>
    <row r="5" spans="2:18">
      <c r="B5" t="s">
        <v>27</v>
      </c>
      <c r="C5" t="s">
        <v>29</v>
      </c>
      <c r="D5">
        <v>56</v>
      </c>
      <c r="E5">
        <v>3.6</v>
      </c>
      <c r="F5">
        <v>1</v>
      </c>
      <c r="H5">
        <v>94.786729857819793</v>
      </c>
      <c r="N5" s="348" t="s">
        <v>271</v>
      </c>
    </row>
    <row r="6" spans="2:18">
      <c r="B6" s="258" t="s">
        <v>26</v>
      </c>
      <c r="C6" s="258" t="s">
        <v>272</v>
      </c>
      <c r="D6" s="258">
        <v>600</v>
      </c>
      <c r="E6" s="258"/>
      <c r="F6" s="258"/>
      <c r="G6" s="258">
        <v>1</v>
      </c>
      <c r="N6" s="348"/>
    </row>
    <row r="9" spans="2:18">
      <c r="R9" t="s">
        <v>188</v>
      </c>
    </row>
    <row r="10" spans="2:18">
      <c r="R10" s="7" t="s">
        <v>24</v>
      </c>
    </row>
    <row r="26" spans="5:11">
      <c r="K26" s="7" t="s">
        <v>22</v>
      </c>
    </row>
    <row r="31" spans="5:11">
      <c r="E31" s="7" t="s">
        <v>23</v>
      </c>
    </row>
    <row r="57" spans="1:20" s="336" customFormat="1" ht="13.8">
      <c r="A57" s="336" t="s">
        <v>15</v>
      </c>
      <c r="B57" s="337" t="s">
        <v>10</v>
      </c>
      <c r="C57" s="336" t="s">
        <v>11</v>
      </c>
      <c r="D57" s="338"/>
      <c r="F57" s="339" t="s">
        <v>14</v>
      </c>
      <c r="G57" s="339"/>
      <c r="K57" s="336" t="s">
        <v>46</v>
      </c>
      <c r="M57" s="336" t="s">
        <v>45</v>
      </c>
      <c r="T57" s="336" t="s">
        <v>9</v>
      </c>
    </row>
    <row r="58" spans="1:20" s="336" customFormat="1" ht="13.8">
      <c r="A58" s="336" t="s">
        <v>15</v>
      </c>
      <c r="B58" s="337" t="s">
        <v>12</v>
      </c>
      <c r="C58" s="336" t="s">
        <v>13</v>
      </c>
      <c r="D58" s="338"/>
      <c r="F58" s="339" t="s">
        <v>14</v>
      </c>
      <c r="G58" s="339"/>
      <c r="K58" s="336" t="s">
        <v>189</v>
      </c>
      <c r="M58" s="335" t="s">
        <v>44</v>
      </c>
    </row>
    <row r="59" spans="1:20" s="336" customFormat="1" ht="13.8">
      <c r="A59" s="336" t="s">
        <v>17</v>
      </c>
      <c r="B59" s="337" t="s">
        <v>16</v>
      </c>
      <c r="C59" s="336" t="s">
        <v>242</v>
      </c>
      <c r="D59" s="338"/>
      <c r="F59" s="339"/>
      <c r="G59" s="339"/>
      <c r="I59" s="336" t="s">
        <v>19</v>
      </c>
      <c r="M59" s="336" t="s">
        <v>47</v>
      </c>
    </row>
    <row r="60" spans="1:20" s="336" customFormat="1" ht="13.8">
      <c r="A60" s="336" t="s">
        <v>17</v>
      </c>
      <c r="B60" s="337" t="s">
        <v>18</v>
      </c>
      <c r="C60" s="335" t="s">
        <v>243</v>
      </c>
      <c r="D60" s="338"/>
      <c r="F60" s="339"/>
      <c r="G60" s="339"/>
      <c r="H60" s="335"/>
      <c r="L60" s="336" t="s">
        <v>32</v>
      </c>
    </row>
    <row r="61" spans="1:20">
      <c r="B61" s="36" t="s">
        <v>226</v>
      </c>
      <c r="C61" s="335" t="s">
        <v>277</v>
      </c>
    </row>
  </sheetData>
  <hyperlinks>
    <hyperlink ref="K26" r:id="rId1" xr:uid="{00000000-0004-0000-0D00-000000000000}"/>
    <hyperlink ref="E31" r:id="rId2" xr:uid="{00000000-0004-0000-0D00-000001000000}"/>
    <hyperlink ref="R10" r:id="rId3" xr:uid="{00000000-0004-0000-0D00-000002000000}"/>
    <hyperlink ref="F57" r:id="rId4" xr:uid="{AB2EAB02-B141-4782-8FFD-CE7DDD6C0299}"/>
    <hyperlink ref="F58" r:id="rId5" xr:uid="{D26C668E-32A6-4DF0-B072-EAE5F9AEE071}"/>
  </hyperlinks>
  <pageMargins left="0.7" right="0.7" top="0.75" bottom="0.75" header="0.3" footer="0.3"/>
  <pageSetup paperSize="9" orientation="portrait" verticalDpi="0" r:id="rId6"/>
  <drawing r:id="rId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79DE4-3DC3-4C80-B519-DA1FBCD1BD76}">
  <dimension ref="B4:B11"/>
  <sheetViews>
    <sheetView topLeftCell="A16" workbookViewId="0">
      <selection activeCell="O9" sqref="O9"/>
    </sheetView>
  </sheetViews>
  <sheetFormatPr defaultRowHeight="14.4"/>
  <sheetData>
    <row r="4" spans="2:2">
      <c r="B4" s="392" t="s">
        <v>340</v>
      </c>
    </row>
    <row r="5" spans="2:2">
      <c r="B5" s="392" t="s">
        <v>341</v>
      </c>
    </row>
    <row r="11" spans="2:2">
      <c r="B11" s="7" t="s">
        <v>339</v>
      </c>
    </row>
  </sheetData>
  <hyperlinks>
    <hyperlink ref="B11" r:id="rId1" display="https://deloitte.wsj.com/articles/chart-a-clear-path-to-net-zero-with-4-big-steps-01657133198?mod=Deloitte_sb_wsjarticle2_300x200" xr:uid="{EFBDF4A8-151A-45AE-9FF5-98DD8133CE55}"/>
    <hyperlink ref="B4" r:id="rId2" display="https://enviteam.cz/seminare/2023-06/pozvanka-uhlikova-stopa-podniku-a-vyrobku.pdf" xr:uid="{8A59DFBA-A0AC-41F7-9586-D7E66BD43794}"/>
    <hyperlink ref="B5" r:id="rId3" display="http://www.enviteam.cz/" xr:uid="{13E4EE48-E249-498F-9423-A6AA52E38183}"/>
  </hyperlinks>
  <pageMargins left="0.7" right="0.7" top="0.75" bottom="0.75" header="0.3" footer="0.3"/>
  <pageSetup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tabColor theme="0"/>
  </sheetPr>
  <dimension ref="A2:AL33"/>
  <sheetViews>
    <sheetView topLeftCell="A2" zoomScaleNormal="100" workbookViewId="0">
      <selection activeCell="B24" sqref="B24"/>
    </sheetView>
  </sheetViews>
  <sheetFormatPr defaultColWidth="8.88671875" defaultRowHeight="14.4"/>
  <cols>
    <col min="1" max="1" width="12.44140625" customWidth="1"/>
    <col min="2" max="2" width="11.6640625" customWidth="1"/>
    <col min="3" max="3" width="8.6640625" customWidth="1"/>
  </cols>
  <sheetData>
    <row r="2" spans="1:3" ht="30">
      <c r="A2" s="14" t="s">
        <v>239</v>
      </c>
      <c r="B2" s="13" t="s">
        <v>249</v>
      </c>
      <c r="C2" t="s">
        <v>231</v>
      </c>
    </row>
    <row r="3" spans="1:3">
      <c r="A3" s="8" t="s">
        <v>240</v>
      </c>
      <c r="B3" s="11">
        <f>CHART!H5</f>
        <v>23018.349000000002</v>
      </c>
      <c r="C3" s="12">
        <f>B3/1000</f>
        <v>23.018349000000001</v>
      </c>
    </row>
    <row r="4" spans="1:3">
      <c r="A4" s="8" t="s">
        <v>7</v>
      </c>
      <c r="B4" s="11">
        <f>CHART!K5</f>
        <v>63928.799999999996</v>
      </c>
      <c r="C4" s="12">
        <f t="shared" ref="C4:C10" si="0">B4/1000</f>
        <v>63.928799999999995</v>
      </c>
    </row>
    <row r="5" spans="1:3">
      <c r="A5" s="8" t="s">
        <v>241</v>
      </c>
      <c r="B5" s="11">
        <f>CHART!O5</f>
        <v>6059.9999999999991</v>
      </c>
      <c r="C5" s="12">
        <f t="shared" si="0"/>
        <v>6.0599999999999987</v>
      </c>
    </row>
    <row r="6" spans="1:3">
      <c r="A6" s="8" t="s">
        <v>259</v>
      </c>
      <c r="B6" s="11">
        <f>CHART!S5+CHART!W5</f>
        <v>135.69136255485307</v>
      </c>
      <c r="C6" s="12">
        <f t="shared" si="0"/>
        <v>0.13569136255485306</v>
      </c>
    </row>
    <row r="7" spans="1:3">
      <c r="A7" s="8" t="s">
        <v>244</v>
      </c>
      <c r="B7" s="11">
        <f>CHART!AA5+CHART!AE5</f>
        <v>328.84575893518303</v>
      </c>
      <c r="C7" s="12">
        <f t="shared" si="0"/>
        <v>0.32884575893518303</v>
      </c>
    </row>
    <row r="8" spans="1:3">
      <c r="A8" s="8" t="s">
        <v>213</v>
      </c>
      <c r="B8" s="358">
        <f>CHART!AI5</f>
        <v>0.79960869659123956</v>
      </c>
      <c r="C8" s="12">
        <f t="shared" si="0"/>
        <v>7.996086965912396E-4</v>
      </c>
    </row>
    <row r="9" spans="1:3" ht="15" thickBot="1">
      <c r="A9" s="8" t="s">
        <v>247</v>
      </c>
      <c r="B9" s="11">
        <f>CHART!AL5</f>
        <v>14955.469779438406</v>
      </c>
      <c r="C9" s="12">
        <f t="shared" si="0"/>
        <v>14.955469779438406</v>
      </c>
    </row>
    <row r="10" spans="1:3" ht="18.600000000000001" thickBot="1">
      <c r="A10" s="15" t="s">
        <v>34</v>
      </c>
      <c r="B10" s="343">
        <f>SUM(B3:B9)</f>
        <v>108427.95550962504</v>
      </c>
      <c r="C10" s="12">
        <f t="shared" si="0"/>
        <v>108.42795550962504</v>
      </c>
    </row>
    <row r="31" spans="3:38">
      <c r="C31" s="2"/>
      <c r="D31" s="8"/>
      <c r="E31" s="2"/>
      <c r="F31" s="378" t="s">
        <v>326</v>
      </c>
      <c r="H31" s="2"/>
      <c r="K31" s="2"/>
      <c r="L31" s="71"/>
      <c r="O31" s="2"/>
      <c r="P31" s="71"/>
      <c r="Q31" s="71"/>
      <c r="R31" s="10"/>
      <c r="S31" s="307"/>
      <c r="T31" s="10"/>
      <c r="U31" s="10"/>
      <c r="V31" s="2"/>
      <c r="W31" s="304"/>
      <c r="X31" s="71"/>
      <c r="Z31" s="6"/>
      <c r="AA31" s="2"/>
      <c r="AD31" s="6"/>
      <c r="AE31" s="304"/>
      <c r="AI31" s="2"/>
      <c r="AJ31" s="71"/>
      <c r="AL31" s="2"/>
    </row>
    <row r="33" spans="6:6">
      <c r="F33">
        <v>2022</v>
      </c>
    </row>
  </sheetData>
  <hyperlinks>
    <hyperlink ref="F31" r:id="rId1" xr:uid="{61722DCB-5528-4F33-8B77-ED6E564DB42A}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C83AC-9342-4166-97D3-9740659E56CB}">
  <sheetPr>
    <tabColor theme="0"/>
  </sheetPr>
  <dimension ref="A2:AL33"/>
  <sheetViews>
    <sheetView zoomScaleNormal="100" workbookViewId="0">
      <selection activeCell="D32" sqref="D32"/>
    </sheetView>
  </sheetViews>
  <sheetFormatPr defaultColWidth="8.88671875" defaultRowHeight="14.4"/>
  <cols>
    <col min="1" max="1" width="12.44140625" customWidth="1"/>
    <col min="2" max="2" width="11.6640625" customWidth="1"/>
    <col min="3" max="3" width="8.6640625" customWidth="1"/>
  </cols>
  <sheetData>
    <row r="2" spans="1:3" ht="30">
      <c r="A2" s="14" t="s">
        <v>382</v>
      </c>
      <c r="B2" s="13" t="s">
        <v>249</v>
      </c>
      <c r="C2" t="s">
        <v>231</v>
      </c>
    </row>
    <row r="3" spans="1:3">
      <c r="A3" s="8" t="s">
        <v>240</v>
      </c>
      <c r="B3" s="11">
        <f>CHART!H6</f>
        <v>20018.349000000002</v>
      </c>
      <c r="C3" s="12">
        <f>B3/1000</f>
        <v>20.018349000000001</v>
      </c>
    </row>
    <row r="4" spans="1:3">
      <c r="A4" s="8" t="s">
        <v>7</v>
      </c>
      <c r="B4" s="11">
        <f>CHART!K6</f>
        <v>65133.899999999994</v>
      </c>
      <c r="C4" s="12">
        <f t="shared" ref="C4:C10" si="0">B4/1000</f>
        <v>65.133899999999997</v>
      </c>
    </row>
    <row r="5" spans="1:3">
      <c r="A5" s="8" t="s">
        <v>241</v>
      </c>
      <c r="B5" s="11">
        <f>CHART!O6</f>
        <v>6080</v>
      </c>
      <c r="C5" s="12">
        <f t="shared" si="0"/>
        <v>6.08</v>
      </c>
    </row>
    <row r="6" spans="1:3">
      <c r="A6" s="8" t="s">
        <v>259</v>
      </c>
      <c r="B6" s="11">
        <f>CHART!S6+CHART!W6</f>
        <v>135.69136255485307</v>
      </c>
      <c r="C6" s="12">
        <f t="shared" si="0"/>
        <v>0.13569136255485306</v>
      </c>
    </row>
    <row r="7" spans="1:3">
      <c r="A7" s="8" t="s">
        <v>244</v>
      </c>
      <c r="B7" s="11">
        <f>CHART!AA6+CHART!AE6</f>
        <v>328.84575893518303</v>
      </c>
      <c r="C7" s="12">
        <f t="shared" si="0"/>
        <v>0.32884575893518303</v>
      </c>
    </row>
    <row r="8" spans="1:3">
      <c r="A8" s="8" t="s">
        <v>213</v>
      </c>
      <c r="B8" s="358">
        <f>CHART!AI6</f>
        <v>0.70900995709544123</v>
      </c>
      <c r="C8" s="12">
        <f t="shared" si="0"/>
        <v>7.0900995709544123E-4</v>
      </c>
    </row>
    <row r="9" spans="1:3" ht="15" thickBot="1">
      <c r="A9" s="8" t="s">
        <v>247</v>
      </c>
      <c r="B9" s="11">
        <f>CHART!AL6</f>
        <v>15588.453640653306</v>
      </c>
      <c r="C9" s="12">
        <f t="shared" si="0"/>
        <v>15.588453640653306</v>
      </c>
    </row>
    <row r="10" spans="1:3" ht="18.600000000000001" thickBot="1">
      <c r="A10" s="15" t="s">
        <v>34</v>
      </c>
      <c r="B10" s="343">
        <f>SUM(B3:B9)</f>
        <v>107285.94877210043</v>
      </c>
      <c r="C10" s="12">
        <f t="shared" si="0"/>
        <v>107.28594877210043</v>
      </c>
    </row>
    <row r="31" spans="3:38">
      <c r="C31" s="2"/>
      <c r="D31" s="8"/>
      <c r="E31" s="2"/>
      <c r="F31" s="378" t="s">
        <v>326</v>
      </c>
      <c r="H31" s="2"/>
      <c r="K31" s="2"/>
      <c r="L31" s="71"/>
      <c r="O31" s="2"/>
      <c r="P31" s="71"/>
      <c r="Q31" s="71"/>
      <c r="R31" s="10"/>
      <c r="S31" s="307"/>
      <c r="T31" s="10"/>
      <c r="U31" s="10"/>
      <c r="V31" s="2"/>
      <c r="W31" s="304"/>
      <c r="X31" s="71"/>
      <c r="Z31" s="6"/>
      <c r="AA31" s="2"/>
      <c r="AD31" s="6"/>
      <c r="AE31" s="304"/>
      <c r="AI31" s="2"/>
      <c r="AJ31" s="71"/>
      <c r="AL31" s="2"/>
    </row>
    <row r="33" spans="6:6">
      <c r="F33">
        <v>2023</v>
      </c>
    </row>
  </sheetData>
  <hyperlinks>
    <hyperlink ref="F31" r:id="rId1" xr:uid="{08678A4D-EE0F-4A48-84AA-BDF42F098A07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9B930-033F-4E21-85B0-EE3A97A5207E}">
  <sheetPr>
    <tabColor theme="0"/>
  </sheetPr>
  <dimension ref="A2:AL33"/>
  <sheetViews>
    <sheetView zoomScaleNormal="100" workbookViewId="0">
      <selection activeCell="B19" sqref="B19"/>
    </sheetView>
  </sheetViews>
  <sheetFormatPr defaultColWidth="8.88671875" defaultRowHeight="14.4"/>
  <cols>
    <col min="1" max="1" width="12.44140625" customWidth="1"/>
    <col min="2" max="2" width="11.6640625" customWidth="1"/>
    <col min="3" max="3" width="8.6640625" customWidth="1"/>
  </cols>
  <sheetData>
    <row r="2" spans="1:3" ht="30">
      <c r="A2" s="14" t="s">
        <v>383</v>
      </c>
      <c r="B2" s="13" t="s">
        <v>249</v>
      </c>
      <c r="C2" t="s">
        <v>231</v>
      </c>
    </row>
    <row r="3" spans="1:3">
      <c r="A3" s="8" t="s">
        <v>240</v>
      </c>
      <c r="B3" s="11">
        <f>CHART!H7</f>
        <v>18018.349000000002</v>
      </c>
      <c r="C3" s="12">
        <f>B3/1000</f>
        <v>18.018349000000001</v>
      </c>
    </row>
    <row r="4" spans="1:3">
      <c r="A4" s="8" t="s">
        <v>7</v>
      </c>
      <c r="B4" s="11">
        <f>CHART!K7</f>
        <v>67906.8</v>
      </c>
      <c r="C4" s="12">
        <f t="shared" ref="C4:C10" si="0">B4/1000</f>
        <v>67.906800000000004</v>
      </c>
    </row>
    <row r="5" spans="1:3">
      <c r="A5" s="8" t="s">
        <v>241</v>
      </c>
      <c r="B5" s="11">
        <f>CHART!O7</f>
        <v>6080</v>
      </c>
      <c r="C5" s="12">
        <f t="shared" si="0"/>
        <v>6.08</v>
      </c>
    </row>
    <row r="6" spans="1:3">
      <c r="A6" s="8" t="s">
        <v>259</v>
      </c>
      <c r="B6" s="11">
        <f>CHART!S7+CHART!W7</f>
        <v>126.70507257444346</v>
      </c>
      <c r="C6" s="12">
        <f t="shared" si="0"/>
        <v>0.12670507257444347</v>
      </c>
    </row>
    <row r="7" spans="1:3">
      <c r="A7" s="8" t="s">
        <v>244</v>
      </c>
      <c r="B7" s="11">
        <f>CHART!AA7+CHART!AE7</f>
        <v>328.84575893518303</v>
      </c>
      <c r="C7" s="12">
        <f t="shared" si="0"/>
        <v>0.32884575893518303</v>
      </c>
    </row>
    <row r="8" spans="1:3">
      <c r="A8" s="8" t="s">
        <v>213</v>
      </c>
      <c r="B8" s="358">
        <f>CHART!AI7</f>
        <v>0.70900995709544123</v>
      </c>
      <c r="C8" s="12">
        <f t="shared" si="0"/>
        <v>7.0900995709544123E-4</v>
      </c>
    </row>
    <row r="9" spans="1:3" ht="15" thickBot="1">
      <c r="A9" s="8" t="s">
        <v>247</v>
      </c>
      <c r="B9" s="11">
        <f>CHART!AL7</f>
        <v>16058.318971356637</v>
      </c>
      <c r="C9" s="12">
        <f t="shared" si="0"/>
        <v>16.058318971356638</v>
      </c>
    </row>
    <row r="10" spans="1:3" ht="18.600000000000001" thickBot="1">
      <c r="A10" s="15" t="s">
        <v>34</v>
      </c>
      <c r="B10" s="343">
        <f>SUM(B3:B9)</f>
        <v>108519.72781282337</v>
      </c>
      <c r="C10" s="12">
        <f t="shared" si="0"/>
        <v>108.51972781282338</v>
      </c>
    </row>
    <row r="31" spans="3:38">
      <c r="C31" s="2"/>
      <c r="D31" s="8"/>
      <c r="E31" s="2"/>
      <c r="F31" s="378" t="s">
        <v>326</v>
      </c>
      <c r="H31" s="2"/>
      <c r="K31" s="2"/>
      <c r="L31" s="71"/>
      <c r="O31" s="2"/>
      <c r="P31" s="71"/>
      <c r="Q31" s="71"/>
      <c r="R31" s="10"/>
      <c r="S31" s="307"/>
      <c r="T31" s="10"/>
      <c r="U31" s="10"/>
      <c r="V31" s="2"/>
      <c r="W31" s="304"/>
      <c r="X31" s="71"/>
      <c r="Z31" s="6"/>
      <c r="AA31" s="2"/>
      <c r="AD31" s="6"/>
      <c r="AE31" s="304"/>
      <c r="AI31" s="2"/>
      <c r="AJ31" s="71"/>
      <c r="AL31" s="2"/>
    </row>
    <row r="33" spans="6:6">
      <c r="F33">
        <v>2024</v>
      </c>
    </row>
  </sheetData>
  <hyperlinks>
    <hyperlink ref="F31" r:id="rId1" xr:uid="{CB9CCAAE-1543-4949-9D00-0E85B67936EC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2BDBD-D8DE-49EC-8A46-829119230D32}">
  <sheetPr>
    <tabColor rgb="FF0070C0"/>
  </sheetPr>
  <dimension ref="A1:P15"/>
  <sheetViews>
    <sheetView zoomScale="90" zoomScaleNormal="90" workbookViewId="0">
      <selection activeCell="D39" sqref="D39"/>
    </sheetView>
  </sheetViews>
  <sheetFormatPr defaultColWidth="9.109375" defaultRowHeight="14.4"/>
  <cols>
    <col min="1" max="1" width="9.109375" style="17"/>
    <col min="2" max="2" width="21.33203125" style="17" customWidth="1"/>
    <col min="3" max="3" width="22" style="17" customWidth="1"/>
    <col min="4" max="4" width="14.109375" style="17" customWidth="1"/>
    <col min="5" max="5" width="8.33203125" style="17" customWidth="1"/>
    <col min="6" max="10" width="9.109375" style="17"/>
    <col min="11" max="11" width="10.88671875" style="17" customWidth="1"/>
    <col min="12" max="16384" width="9.109375" style="17"/>
  </cols>
  <sheetData>
    <row r="1" spans="1:16">
      <c r="A1" s="31"/>
    </row>
    <row r="2" spans="1:16" ht="28.8">
      <c r="A2"/>
      <c r="B2"/>
      <c r="C2"/>
      <c r="D2"/>
      <c r="E2"/>
      <c r="F2"/>
      <c r="G2" s="118" t="s">
        <v>38</v>
      </c>
      <c r="H2" s="119" t="s">
        <v>59</v>
      </c>
      <c r="I2" s="120" t="s">
        <v>53</v>
      </c>
      <c r="J2" s="121" t="s">
        <v>54</v>
      </c>
      <c r="K2" s="357"/>
      <c r="L2" s="356"/>
    </row>
    <row r="3" spans="1:16">
      <c r="A3" s="17" t="s">
        <v>60</v>
      </c>
      <c r="B3" s="110"/>
      <c r="C3" s="110"/>
      <c r="D3" s="110"/>
      <c r="E3" s="110"/>
      <c r="F3" s="111"/>
      <c r="G3" s="112"/>
      <c r="H3" s="112"/>
      <c r="I3" s="110"/>
      <c r="J3" s="110"/>
      <c r="K3" s="111"/>
      <c r="L3" s="111"/>
      <c r="M3" s="108"/>
    </row>
    <row r="4" spans="1:16">
      <c r="A4" s="55" t="s">
        <v>1</v>
      </c>
      <c r="B4" s="113" t="s">
        <v>187</v>
      </c>
      <c r="C4" s="113" t="s">
        <v>2</v>
      </c>
      <c r="D4" s="113" t="s">
        <v>3</v>
      </c>
      <c r="E4" s="113" t="s">
        <v>36</v>
      </c>
      <c r="F4" s="114"/>
      <c r="G4" s="112"/>
      <c r="H4" s="112"/>
      <c r="I4" s="110"/>
      <c r="J4" s="112"/>
      <c r="K4" s="111"/>
      <c r="L4" s="111"/>
      <c r="M4" s="108"/>
    </row>
    <row r="5" spans="1:16">
      <c r="A5" s="54" t="s">
        <v>55</v>
      </c>
      <c r="B5" s="115">
        <v>37315</v>
      </c>
      <c r="C5" s="115">
        <v>4440485</v>
      </c>
      <c r="D5" s="113">
        <v>119</v>
      </c>
      <c r="E5" s="113" t="s">
        <v>52</v>
      </c>
      <c r="F5" s="111"/>
      <c r="G5" s="122">
        <f t="shared" ref="G5:G9" si="0">C5/1000</f>
        <v>4440.4849999999997</v>
      </c>
      <c r="H5" s="112"/>
      <c r="I5" s="112"/>
      <c r="J5" s="112">
        <f>G5</f>
        <v>4440.4849999999997</v>
      </c>
      <c r="K5" s="111"/>
      <c r="L5" s="111"/>
      <c r="M5" s="108"/>
    </row>
    <row r="6" spans="1:16">
      <c r="A6" s="54" t="s">
        <v>56</v>
      </c>
      <c r="B6" s="115">
        <v>46279</v>
      </c>
      <c r="C6" s="115">
        <v>5044411</v>
      </c>
      <c r="D6" s="113">
        <v>109</v>
      </c>
      <c r="E6" s="113" t="s">
        <v>51</v>
      </c>
      <c r="F6" s="111"/>
      <c r="G6" s="122">
        <f t="shared" si="0"/>
        <v>5044.4110000000001</v>
      </c>
      <c r="H6" s="112"/>
      <c r="I6" s="112"/>
      <c r="J6" s="112">
        <f>G6</f>
        <v>5044.4110000000001</v>
      </c>
      <c r="K6" s="111"/>
      <c r="L6" s="111"/>
      <c r="M6" s="108"/>
    </row>
    <row r="7" spans="1:16">
      <c r="A7" s="54" t="s">
        <v>57</v>
      </c>
      <c r="B7" s="115">
        <v>50250</v>
      </c>
      <c r="C7" s="115">
        <v>5678250</v>
      </c>
      <c r="D7" s="113">
        <v>113</v>
      </c>
      <c r="E7" s="113" t="s">
        <v>52</v>
      </c>
      <c r="F7" s="111"/>
      <c r="G7" s="122">
        <f t="shared" si="0"/>
        <v>5678.25</v>
      </c>
      <c r="H7" s="112"/>
      <c r="I7" s="112">
        <f t="shared" ref="I7" si="1">G7</f>
        <v>5678.25</v>
      </c>
      <c r="J7" s="110"/>
      <c r="K7" s="111"/>
      <c r="L7" s="111"/>
      <c r="M7" s="108"/>
      <c r="N7" s="108"/>
    </row>
    <row r="8" spans="1:16">
      <c r="A8" s="54" t="s">
        <v>57</v>
      </c>
      <c r="B8" s="115">
        <v>50931</v>
      </c>
      <c r="C8" s="115">
        <v>5755203</v>
      </c>
      <c r="D8" s="113">
        <v>113</v>
      </c>
      <c r="E8" s="113" t="s">
        <v>51</v>
      </c>
      <c r="F8" s="111"/>
      <c r="G8" s="122">
        <f t="shared" si="0"/>
        <v>5755.2030000000004</v>
      </c>
      <c r="H8" s="112"/>
      <c r="I8" s="112">
        <f>G8</f>
        <v>5755.2030000000004</v>
      </c>
      <c r="J8" s="112"/>
      <c r="K8" s="111"/>
      <c r="L8" s="111"/>
      <c r="M8" s="108"/>
      <c r="N8" s="108"/>
    </row>
    <row r="9" spans="1:16" ht="15" thickBot="1">
      <c r="A9" s="54" t="s">
        <v>58</v>
      </c>
      <c r="B9" s="115">
        <v>21000</v>
      </c>
      <c r="C9" s="115">
        <v>2100000</v>
      </c>
      <c r="D9" s="113">
        <v>100</v>
      </c>
      <c r="E9" s="113" t="s">
        <v>59</v>
      </c>
      <c r="F9" s="111"/>
      <c r="G9" s="122">
        <f t="shared" si="0"/>
        <v>2100</v>
      </c>
      <c r="H9" s="112">
        <f>G9</f>
        <v>2100</v>
      </c>
      <c r="I9" s="112"/>
      <c r="J9" s="110"/>
      <c r="K9" s="111"/>
      <c r="L9" s="111"/>
      <c r="M9" s="108"/>
      <c r="N9" s="108"/>
    </row>
    <row r="10" spans="1:16" ht="18.600000000000001" thickBot="1">
      <c r="A10" s="30" t="s">
        <v>37</v>
      </c>
      <c r="B10" s="116">
        <f>SUM(B5:B9)</f>
        <v>205775</v>
      </c>
      <c r="C10" s="116">
        <f>SUM(C5:C9)</f>
        <v>23018349</v>
      </c>
      <c r="D10" s="110"/>
      <c r="E10" s="110"/>
      <c r="F10" s="111"/>
      <c r="G10" s="110"/>
      <c r="H10" s="122">
        <f>SUM(H5:H9)</f>
        <v>2100</v>
      </c>
      <c r="I10" s="122">
        <f>SUM(I5:I9)</f>
        <v>11433.453000000001</v>
      </c>
      <c r="J10" s="122">
        <f>SUM(J5:J9)</f>
        <v>9484.8960000000006</v>
      </c>
      <c r="K10" s="123">
        <f>SUM(H10:J10)</f>
        <v>23018.349000000002</v>
      </c>
      <c r="L10" s="111" t="s">
        <v>185</v>
      </c>
      <c r="M10" s="108"/>
      <c r="N10" s="108"/>
    </row>
    <row r="11" spans="1:16"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</row>
    <row r="14" spans="1:16">
      <c r="P14"/>
    </row>
    <row r="15" spans="1:16">
      <c r="P15"/>
    </row>
  </sheetData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309B9-84AA-4724-9DCD-C62FBBF8E796}">
  <sheetPr>
    <tabColor rgb="FF0070C0"/>
  </sheetPr>
  <dimension ref="A1:P15"/>
  <sheetViews>
    <sheetView zoomScale="90" zoomScaleNormal="90" workbookViewId="0">
      <selection activeCell="B12" sqref="B12"/>
    </sheetView>
  </sheetViews>
  <sheetFormatPr defaultColWidth="9.109375" defaultRowHeight="14.4"/>
  <cols>
    <col min="1" max="1" width="9.109375" style="17"/>
    <col min="2" max="2" width="21.33203125" style="17" customWidth="1"/>
    <col min="3" max="3" width="22" style="17" customWidth="1"/>
    <col min="4" max="4" width="14.109375" style="17" customWidth="1"/>
    <col min="5" max="5" width="8.33203125" style="17" customWidth="1"/>
    <col min="6" max="10" width="9.109375" style="17"/>
    <col min="11" max="11" width="10.88671875" style="17" customWidth="1"/>
    <col min="12" max="16384" width="9.109375" style="17"/>
  </cols>
  <sheetData>
    <row r="1" spans="1:16">
      <c r="A1" s="31"/>
    </row>
    <row r="2" spans="1:16" ht="28.8">
      <c r="A2"/>
      <c r="B2"/>
      <c r="C2"/>
      <c r="D2"/>
      <c r="E2"/>
      <c r="F2"/>
      <c r="G2" s="118" t="s">
        <v>38</v>
      </c>
      <c r="H2" s="119" t="s">
        <v>59</v>
      </c>
      <c r="I2" s="120" t="s">
        <v>53</v>
      </c>
      <c r="J2" s="121" t="s">
        <v>54</v>
      </c>
      <c r="K2" s="357"/>
      <c r="L2" s="356"/>
    </row>
    <row r="3" spans="1:16">
      <c r="A3" s="17" t="s">
        <v>347</v>
      </c>
      <c r="B3" s="110"/>
      <c r="C3" s="110"/>
      <c r="D3" s="110"/>
      <c r="E3" s="110"/>
      <c r="F3" s="111"/>
      <c r="G3" s="112"/>
      <c r="H3" s="112"/>
      <c r="I3" s="110"/>
      <c r="J3" s="110"/>
      <c r="K3" s="111"/>
      <c r="L3" s="111"/>
      <c r="M3" s="108"/>
    </row>
    <row r="4" spans="1:16">
      <c r="A4" s="55" t="s">
        <v>1</v>
      </c>
      <c r="B4" s="113" t="s">
        <v>346</v>
      </c>
      <c r="C4" s="113" t="s">
        <v>2</v>
      </c>
      <c r="D4" s="113" t="s">
        <v>3</v>
      </c>
      <c r="E4" s="113" t="s">
        <v>36</v>
      </c>
      <c r="F4" s="114"/>
      <c r="G4" s="112"/>
      <c r="H4" s="112"/>
      <c r="I4" s="110"/>
      <c r="J4" s="112"/>
      <c r="K4" s="111"/>
      <c r="L4" s="111"/>
      <c r="M4" s="108"/>
    </row>
    <row r="5" spans="1:16">
      <c r="A5" s="54" t="s">
        <v>55</v>
      </c>
      <c r="B5" s="115">
        <v>37315</v>
      </c>
      <c r="C5" s="115">
        <v>3440485</v>
      </c>
      <c r="D5" s="113">
        <v>119</v>
      </c>
      <c r="E5" s="113" t="s">
        <v>52</v>
      </c>
      <c r="F5" s="111"/>
      <c r="G5" s="122">
        <f t="shared" ref="G5:G9" si="0">C5/1000</f>
        <v>3440.4850000000001</v>
      </c>
      <c r="H5" s="112"/>
      <c r="I5" s="112"/>
      <c r="J5" s="112">
        <f>G5</f>
        <v>3440.4850000000001</v>
      </c>
      <c r="K5" s="111"/>
      <c r="L5" s="111"/>
      <c r="M5" s="108"/>
    </row>
    <row r="6" spans="1:16">
      <c r="A6" s="54" t="s">
        <v>56</v>
      </c>
      <c r="B6" s="115">
        <v>46279</v>
      </c>
      <c r="C6" s="115">
        <v>4044411</v>
      </c>
      <c r="D6" s="113">
        <v>109</v>
      </c>
      <c r="E6" s="113" t="s">
        <v>51</v>
      </c>
      <c r="F6" s="111"/>
      <c r="G6" s="122">
        <f t="shared" si="0"/>
        <v>4044.4110000000001</v>
      </c>
      <c r="H6" s="112"/>
      <c r="I6" s="112"/>
      <c r="J6" s="112">
        <f>G6</f>
        <v>4044.4110000000001</v>
      </c>
      <c r="K6" s="111"/>
      <c r="L6" s="111"/>
      <c r="M6" s="108"/>
    </row>
    <row r="7" spans="1:16">
      <c r="A7" s="54" t="s">
        <v>343</v>
      </c>
      <c r="B7" s="115">
        <v>50250</v>
      </c>
      <c r="C7" s="115">
        <v>4678250</v>
      </c>
      <c r="D7" s="113">
        <v>113</v>
      </c>
      <c r="E7" s="113" t="s">
        <v>52</v>
      </c>
      <c r="F7" s="111"/>
      <c r="G7" s="122">
        <f t="shared" si="0"/>
        <v>4678.25</v>
      </c>
      <c r="H7" s="112"/>
      <c r="I7" s="112">
        <f t="shared" ref="I7" si="1">G7</f>
        <v>4678.25</v>
      </c>
      <c r="J7" s="110"/>
      <c r="K7" s="111"/>
      <c r="L7" s="111"/>
      <c r="M7" s="108"/>
      <c r="N7" s="108"/>
    </row>
    <row r="8" spans="1:16">
      <c r="A8" s="54" t="s">
        <v>344</v>
      </c>
      <c r="B8" s="115">
        <v>50931</v>
      </c>
      <c r="C8" s="115">
        <v>5755203</v>
      </c>
      <c r="D8" s="113">
        <v>113</v>
      </c>
      <c r="E8" s="113" t="s">
        <v>51</v>
      </c>
      <c r="F8" s="111"/>
      <c r="G8" s="122">
        <f t="shared" si="0"/>
        <v>5755.2030000000004</v>
      </c>
      <c r="H8" s="112"/>
      <c r="I8" s="112">
        <f>G8</f>
        <v>5755.2030000000004</v>
      </c>
      <c r="J8" s="112"/>
      <c r="K8" s="111"/>
      <c r="L8" s="111"/>
      <c r="M8" s="108"/>
      <c r="N8" s="108"/>
    </row>
    <row r="9" spans="1:16" ht="15" thickBot="1">
      <c r="A9" s="54" t="s">
        <v>345</v>
      </c>
      <c r="B9" s="115">
        <v>21000</v>
      </c>
      <c r="C9" s="115">
        <v>2100000</v>
      </c>
      <c r="D9" s="113">
        <v>100</v>
      </c>
      <c r="E9" s="113" t="s">
        <v>59</v>
      </c>
      <c r="F9" s="111"/>
      <c r="G9" s="122">
        <f t="shared" si="0"/>
        <v>2100</v>
      </c>
      <c r="H9" s="112">
        <f>G9</f>
        <v>2100</v>
      </c>
      <c r="I9" s="112"/>
      <c r="J9" s="110"/>
      <c r="K9" s="111"/>
      <c r="L9" s="111"/>
      <c r="M9" s="108"/>
      <c r="N9" s="108"/>
    </row>
    <row r="10" spans="1:16" ht="18.600000000000001" thickBot="1">
      <c r="A10" s="30" t="s">
        <v>37</v>
      </c>
      <c r="B10" s="116">
        <f>SUM(B5:B9)</f>
        <v>205775</v>
      </c>
      <c r="C10" s="116">
        <f>SUM(C5:C9)</f>
        <v>20018349</v>
      </c>
      <c r="D10" s="110"/>
      <c r="E10" s="110"/>
      <c r="F10" s="111"/>
      <c r="G10" s="110"/>
      <c r="H10" s="122">
        <f>SUM(H5:H9)</f>
        <v>2100</v>
      </c>
      <c r="I10" s="122">
        <f>SUM(I5:I9)</f>
        <v>10433.453000000001</v>
      </c>
      <c r="J10" s="122">
        <f>SUM(J5:J9)</f>
        <v>7484.8960000000006</v>
      </c>
      <c r="K10" s="123">
        <f>SUM(H10:J10)</f>
        <v>20018.349000000002</v>
      </c>
      <c r="L10" s="111" t="s">
        <v>185</v>
      </c>
      <c r="M10" s="108"/>
      <c r="N10" s="108"/>
    </row>
    <row r="11" spans="1:16"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</row>
    <row r="14" spans="1:16">
      <c r="P14"/>
    </row>
    <row r="15" spans="1:16">
      <c r="P15"/>
    </row>
  </sheetData>
  <pageMargins left="0.7" right="0.7" top="0.75" bottom="0.75" header="0.3" footer="0.3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03818-20C6-4F9D-85F5-C93902B8B1DA}">
  <sheetPr>
    <tabColor rgb="FF0070C0"/>
  </sheetPr>
  <dimension ref="A1:P15"/>
  <sheetViews>
    <sheetView zoomScale="90" zoomScaleNormal="90" workbookViewId="0">
      <selection activeCell="F33" sqref="F33"/>
    </sheetView>
  </sheetViews>
  <sheetFormatPr defaultColWidth="9.109375" defaultRowHeight="14.4"/>
  <cols>
    <col min="1" max="1" width="9.109375" style="17"/>
    <col min="2" max="2" width="21.33203125" style="17" customWidth="1"/>
    <col min="3" max="3" width="22" style="17" customWidth="1"/>
    <col min="4" max="4" width="14.109375" style="17" customWidth="1"/>
    <col min="5" max="5" width="8.33203125" style="17" customWidth="1"/>
    <col min="6" max="10" width="9.109375" style="17"/>
    <col min="11" max="11" width="10.88671875" style="17" customWidth="1"/>
    <col min="12" max="16384" width="9.109375" style="17"/>
  </cols>
  <sheetData>
    <row r="1" spans="1:16">
      <c r="A1" s="31"/>
    </row>
    <row r="2" spans="1:16" ht="28.8">
      <c r="A2"/>
      <c r="B2"/>
      <c r="C2"/>
      <c r="D2"/>
      <c r="E2"/>
      <c r="F2"/>
      <c r="G2" s="118" t="s">
        <v>38</v>
      </c>
      <c r="H2" s="119" t="s">
        <v>59</v>
      </c>
      <c r="I2" s="120" t="s">
        <v>53</v>
      </c>
      <c r="J2" s="121" t="s">
        <v>54</v>
      </c>
      <c r="K2" s="357"/>
      <c r="L2" s="356"/>
    </row>
    <row r="3" spans="1:16">
      <c r="A3" s="17" t="s">
        <v>350</v>
      </c>
      <c r="B3" s="110"/>
      <c r="C3" s="110"/>
      <c r="D3" s="110"/>
      <c r="E3" s="110"/>
      <c r="F3" s="111"/>
      <c r="G3" s="112"/>
      <c r="H3" s="112"/>
      <c r="I3" s="110"/>
      <c r="J3" s="110"/>
      <c r="K3" s="111"/>
      <c r="L3" s="111"/>
      <c r="M3" s="108"/>
    </row>
    <row r="4" spans="1:16">
      <c r="A4" s="55" t="s">
        <v>1</v>
      </c>
      <c r="B4" s="113" t="s">
        <v>351</v>
      </c>
      <c r="C4" s="113" t="s">
        <v>2</v>
      </c>
      <c r="D4" s="113" t="s">
        <v>3</v>
      </c>
      <c r="E4" s="113" t="s">
        <v>36</v>
      </c>
      <c r="F4" s="114"/>
      <c r="G4" s="112"/>
      <c r="H4" s="112"/>
      <c r="I4" s="110"/>
      <c r="J4" s="112"/>
      <c r="K4" s="111"/>
      <c r="L4" s="111"/>
      <c r="M4" s="108"/>
    </row>
    <row r="5" spans="1:16">
      <c r="A5" s="54" t="s">
        <v>348</v>
      </c>
      <c r="B5" s="115">
        <v>37315</v>
      </c>
      <c r="C5" s="115">
        <v>2440485</v>
      </c>
      <c r="D5" s="113">
        <v>119</v>
      </c>
      <c r="E5" s="113" t="s">
        <v>52</v>
      </c>
      <c r="F5" s="111"/>
      <c r="G5" s="122">
        <f t="shared" ref="G5:G9" si="0">C5/1000</f>
        <v>2440.4850000000001</v>
      </c>
      <c r="H5" s="112"/>
      <c r="I5" s="112"/>
      <c r="J5" s="112">
        <f>G5</f>
        <v>2440.4850000000001</v>
      </c>
      <c r="K5" s="111"/>
      <c r="L5" s="111"/>
      <c r="M5" s="108"/>
    </row>
    <row r="6" spans="1:16">
      <c r="A6" s="54" t="s">
        <v>349</v>
      </c>
      <c r="B6" s="115">
        <v>46279</v>
      </c>
      <c r="C6" s="115">
        <v>3044411</v>
      </c>
      <c r="D6" s="113">
        <v>109</v>
      </c>
      <c r="E6" s="113" t="s">
        <v>51</v>
      </c>
      <c r="F6" s="111"/>
      <c r="G6" s="122">
        <f t="shared" si="0"/>
        <v>3044.4110000000001</v>
      </c>
      <c r="H6" s="112"/>
      <c r="I6" s="112"/>
      <c r="J6" s="112">
        <f>G6</f>
        <v>3044.4110000000001</v>
      </c>
      <c r="K6" s="111"/>
      <c r="L6" s="111"/>
      <c r="M6" s="108"/>
    </row>
    <row r="7" spans="1:16">
      <c r="A7" s="54" t="s">
        <v>343</v>
      </c>
      <c r="B7" s="115">
        <v>50250</v>
      </c>
      <c r="C7" s="115">
        <v>4678250</v>
      </c>
      <c r="D7" s="113">
        <v>113</v>
      </c>
      <c r="E7" s="113" t="s">
        <v>52</v>
      </c>
      <c r="F7" s="111"/>
      <c r="G7" s="122">
        <f t="shared" si="0"/>
        <v>4678.25</v>
      </c>
      <c r="H7" s="112"/>
      <c r="I7" s="112">
        <f t="shared" ref="I7" si="1">G7</f>
        <v>4678.25</v>
      </c>
      <c r="J7" s="110"/>
      <c r="K7" s="111"/>
      <c r="L7" s="111"/>
      <c r="M7" s="108"/>
      <c r="N7" s="108"/>
    </row>
    <row r="8" spans="1:16">
      <c r="A8" s="54" t="s">
        <v>344</v>
      </c>
      <c r="B8" s="115">
        <v>50931</v>
      </c>
      <c r="C8" s="115">
        <v>4755203</v>
      </c>
      <c r="D8" s="113">
        <v>113</v>
      </c>
      <c r="E8" s="113" t="s">
        <v>51</v>
      </c>
      <c r="F8" s="111"/>
      <c r="G8" s="122">
        <f t="shared" si="0"/>
        <v>4755.2030000000004</v>
      </c>
      <c r="H8" s="112"/>
      <c r="I8" s="112">
        <f>G8</f>
        <v>4755.2030000000004</v>
      </c>
      <c r="J8" s="112"/>
      <c r="K8" s="111"/>
      <c r="L8" s="111"/>
      <c r="M8" s="108"/>
      <c r="N8" s="108"/>
    </row>
    <row r="9" spans="1:16" ht="15" thickBot="1">
      <c r="A9" s="54" t="s">
        <v>345</v>
      </c>
      <c r="B9" s="115">
        <v>21000</v>
      </c>
      <c r="C9" s="115">
        <v>3100000</v>
      </c>
      <c r="D9" s="113">
        <v>100</v>
      </c>
      <c r="E9" s="113" t="s">
        <v>59</v>
      </c>
      <c r="F9" s="111"/>
      <c r="G9" s="122">
        <f t="shared" si="0"/>
        <v>3100</v>
      </c>
      <c r="H9" s="112">
        <f>G9</f>
        <v>3100</v>
      </c>
      <c r="I9" s="112"/>
      <c r="J9" s="110"/>
      <c r="K9" s="111"/>
      <c r="L9" s="111"/>
      <c r="M9" s="108"/>
      <c r="N9" s="108"/>
    </row>
    <row r="10" spans="1:16" ht="18.600000000000001" thickBot="1">
      <c r="A10" s="30" t="s">
        <v>37</v>
      </c>
      <c r="B10" s="116">
        <f>SUM(B5:B9)</f>
        <v>205775</v>
      </c>
      <c r="C10" s="116">
        <f>SUM(C5:C9)</f>
        <v>18018349</v>
      </c>
      <c r="D10" s="110"/>
      <c r="E10" s="110"/>
      <c r="F10" s="111"/>
      <c r="G10" s="110"/>
      <c r="H10" s="122">
        <f>SUM(H5:H9)</f>
        <v>3100</v>
      </c>
      <c r="I10" s="122">
        <f>SUM(I5:I9)</f>
        <v>9433.4530000000013</v>
      </c>
      <c r="J10" s="122">
        <f>SUM(J5:J9)</f>
        <v>5484.8960000000006</v>
      </c>
      <c r="K10" s="123">
        <f>SUM(H10:J10)</f>
        <v>18018.349000000002</v>
      </c>
      <c r="L10" s="111" t="s">
        <v>185</v>
      </c>
      <c r="M10" s="108"/>
      <c r="N10" s="108"/>
    </row>
    <row r="11" spans="1:16"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</row>
    <row r="14" spans="1:16">
      <c r="P14"/>
    </row>
    <row r="15" spans="1:16">
      <c r="P15"/>
    </row>
  </sheetData>
  <pageMargins left="0.7" right="0.7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B74EC-C632-42C7-937A-0B314D12F3C8}">
  <sheetPr>
    <tabColor theme="6" tint="0.79998168889431442"/>
  </sheetPr>
  <dimension ref="B1:T34"/>
  <sheetViews>
    <sheetView zoomScale="90" zoomScaleNormal="90" workbookViewId="0">
      <selection activeCell="D7" sqref="D7"/>
    </sheetView>
  </sheetViews>
  <sheetFormatPr defaultColWidth="9.109375" defaultRowHeight="14.4"/>
  <cols>
    <col min="13" max="13" width="12" customWidth="1"/>
    <col min="14" max="14" width="11" customWidth="1"/>
    <col min="15" max="15" width="9.109375" style="6"/>
  </cols>
  <sheetData>
    <row r="1" spans="2:20">
      <c r="C1">
        <v>2021</v>
      </c>
      <c r="M1">
        <f>C1</f>
        <v>2021</v>
      </c>
    </row>
    <row r="3" spans="2:20" ht="15" thickBot="1">
      <c r="B3" s="372"/>
      <c r="C3" s="372"/>
      <c r="D3" s="372"/>
      <c r="E3" s="372"/>
      <c r="F3" s="372"/>
      <c r="G3" s="372"/>
      <c r="H3" s="372"/>
      <c r="I3" s="372"/>
      <c r="J3" s="372"/>
      <c r="L3" s="32"/>
      <c r="M3" s="32"/>
      <c r="N3" s="32"/>
      <c r="O3" s="37"/>
      <c r="P3" s="32"/>
    </row>
    <row r="4" spans="2:20" ht="18">
      <c r="B4" s="372"/>
      <c r="C4" s="377" t="s">
        <v>40</v>
      </c>
      <c r="D4" s="21"/>
      <c r="E4" s="21"/>
      <c r="F4" s="21"/>
      <c r="G4" s="21"/>
      <c r="H4" s="22"/>
      <c r="I4" s="372"/>
      <c r="J4" s="372"/>
      <c r="L4" s="32"/>
      <c r="M4" s="109" t="s">
        <v>41</v>
      </c>
      <c r="N4" s="21" t="s">
        <v>311</v>
      </c>
      <c r="O4" s="38" t="s">
        <v>328</v>
      </c>
      <c r="P4" s="32"/>
    </row>
    <row r="5" spans="2:20">
      <c r="B5" s="372"/>
      <c r="C5" s="23"/>
      <c r="D5" s="393" t="str">
        <f>N4</f>
        <v>Dilna1</v>
      </c>
      <c r="E5" s="394"/>
      <c r="F5" s="395"/>
      <c r="G5" s="396" t="str">
        <f>O4</f>
        <v>Vez</v>
      </c>
      <c r="H5" s="397"/>
      <c r="I5" s="372"/>
      <c r="J5" s="372"/>
      <c r="L5" s="32"/>
      <c r="M5" s="23"/>
      <c r="N5" s="1" t="s">
        <v>205</v>
      </c>
      <c r="O5" s="39" t="s">
        <v>204</v>
      </c>
      <c r="P5" s="32"/>
      <c r="T5" t="s">
        <v>66</v>
      </c>
    </row>
    <row r="6" spans="2:20" ht="15" thickBot="1">
      <c r="B6" s="372"/>
      <c r="C6" s="24"/>
      <c r="D6" s="43" t="s">
        <v>61</v>
      </c>
      <c r="E6" s="43" t="s">
        <v>62</v>
      </c>
      <c r="F6" s="25">
        <v>3</v>
      </c>
      <c r="G6" s="43" t="s">
        <v>276</v>
      </c>
      <c r="H6" s="53" t="s">
        <v>330</v>
      </c>
      <c r="I6" s="372"/>
      <c r="J6" s="373"/>
      <c r="L6" s="32">
        <v>2020</v>
      </c>
      <c r="M6" s="23"/>
      <c r="N6" s="1">
        <v>19.8</v>
      </c>
      <c r="O6" s="40"/>
      <c r="P6" s="33"/>
      <c r="T6" t="s">
        <v>63</v>
      </c>
    </row>
    <row r="7" spans="2:20">
      <c r="B7" s="372"/>
      <c r="C7" s="49">
        <v>1</v>
      </c>
      <c r="D7" s="50">
        <v>4.12</v>
      </c>
      <c r="E7" s="50"/>
      <c r="F7" s="50"/>
      <c r="G7" s="51"/>
      <c r="H7" s="52">
        <v>1.3</v>
      </c>
      <c r="I7" s="372"/>
      <c r="J7" s="374"/>
      <c r="L7" s="32"/>
      <c r="M7" s="28">
        <v>1</v>
      </c>
      <c r="N7" s="18"/>
      <c r="O7" s="39">
        <v>0.7</v>
      </c>
      <c r="P7" s="34"/>
      <c r="T7" t="s">
        <v>65</v>
      </c>
    </row>
    <row r="8" spans="2:20">
      <c r="B8" s="372"/>
      <c r="C8" s="28">
        <v>2</v>
      </c>
      <c r="D8" s="18">
        <v>2.93</v>
      </c>
      <c r="E8" s="18"/>
      <c r="F8" s="18"/>
      <c r="G8" s="45"/>
      <c r="H8" s="47">
        <v>0.9</v>
      </c>
      <c r="I8" s="372"/>
      <c r="J8" s="374"/>
      <c r="L8" s="32"/>
      <c r="M8" s="28">
        <v>2</v>
      </c>
      <c r="N8" s="18"/>
      <c r="O8" s="39">
        <v>0.6</v>
      </c>
      <c r="P8" s="34"/>
      <c r="T8" t="s">
        <v>64</v>
      </c>
    </row>
    <row r="9" spans="2:20">
      <c r="B9" s="372"/>
      <c r="C9" s="28">
        <v>3</v>
      </c>
      <c r="D9" s="18">
        <v>4.21</v>
      </c>
      <c r="E9" s="1"/>
      <c r="F9" s="1"/>
      <c r="G9" s="45"/>
      <c r="H9" s="47">
        <v>1.3</v>
      </c>
      <c r="I9" s="372"/>
      <c r="J9" s="374"/>
      <c r="L9" s="32"/>
      <c r="M9" s="28">
        <v>3</v>
      </c>
      <c r="N9" s="1"/>
      <c r="O9" s="39">
        <v>0.5</v>
      </c>
      <c r="P9" s="34"/>
      <c r="T9" t="s">
        <v>186</v>
      </c>
    </row>
    <row r="10" spans="2:20">
      <c r="B10" s="372"/>
      <c r="C10" s="28">
        <v>4</v>
      </c>
      <c r="D10" s="1">
        <v>4.18</v>
      </c>
      <c r="E10" s="1"/>
      <c r="F10" s="1"/>
      <c r="G10" s="45"/>
      <c r="H10" s="39">
        <v>1.2</v>
      </c>
      <c r="I10" s="372"/>
      <c r="J10" s="375"/>
      <c r="L10" s="32"/>
      <c r="M10" s="28">
        <v>4</v>
      </c>
      <c r="N10" s="1"/>
      <c r="O10" s="41">
        <v>0.3</v>
      </c>
      <c r="P10" s="35"/>
      <c r="T10" t="s">
        <v>48</v>
      </c>
    </row>
    <row r="11" spans="2:20">
      <c r="B11" s="372"/>
      <c r="C11" s="28">
        <v>5</v>
      </c>
      <c r="D11" s="1">
        <v>4.75</v>
      </c>
      <c r="E11" s="1"/>
      <c r="F11" s="1"/>
      <c r="G11" s="45"/>
      <c r="H11" s="47">
        <v>1.1000000000000001</v>
      </c>
      <c r="I11" s="372"/>
      <c r="J11" s="375"/>
      <c r="L11" s="32">
        <v>2021</v>
      </c>
      <c r="M11" s="28">
        <v>5</v>
      </c>
      <c r="N11" s="1">
        <v>26.7</v>
      </c>
      <c r="O11" s="41">
        <v>0.1</v>
      </c>
      <c r="P11" s="44"/>
    </row>
    <row r="12" spans="2:20">
      <c r="B12" s="372"/>
      <c r="C12" s="29">
        <v>6</v>
      </c>
      <c r="D12" s="20">
        <v>3.18</v>
      </c>
      <c r="E12" s="20"/>
      <c r="F12" s="20"/>
      <c r="G12" s="46"/>
      <c r="H12" s="48">
        <v>0.6</v>
      </c>
      <c r="I12" s="372"/>
      <c r="J12" s="375"/>
      <c r="L12" s="32"/>
      <c r="M12" s="29">
        <v>6</v>
      </c>
      <c r="N12" s="20"/>
      <c r="O12" s="41">
        <v>0</v>
      </c>
      <c r="P12" s="35"/>
    </row>
    <row r="13" spans="2:20">
      <c r="B13" s="372"/>
      <c r="C13" s="29">
        <v>7</v>
      </c>
      <c r="D13" s="20">
        <v>3.12</v>
      </c>
      <c r="E13" s="20"/>
      <c r="F13" s="20"/>
      <c r="G13" s="46"/>
      <c r="H13" s="48">
        <v>0.6</v>
      </c>
      <c r="I13" s="372"/>
      <c r="J13" s="375"/>
      <c r="L13" s="32"/>
      <c r="M13" s="29">
        <v>7</v>
      </c>
      <c r="N13" s="20"/>
      <c r="O13" s="41">
        <v>0</v>
      </c>
      <c r="P13" s="35"/>
    </row>
    <row r="14" spans="2:20">
      <c r="B14" s="372"/>
      <c r="C14" s="29">
        <v>8</v>
      </c>
      <c r="D14" s="19">
        <v>3.38</v>
      </c>
      <c r="E14" s="19"/>
      <c r="F14" s="19"/>
      <c r="G14" s="46"/>
      <c r="H14" s="41">
        <v>0.8</v>
      </c>
      <c r="I14" s="372"/>
      <c r="J14" s="375"/>
      <c r="L14" s="32"/>
      <c r="M14" s="29">
        <v>8</v>
      </c>
      <c r="N14" s="19"/>
      <c r="O14" s="41">
        <v>0</v>
      </c>
      <c r="P14" s="35"/>
    </row>
    <row r="15" spans="2:20">
      <c r="B15" s="372"/>
      <c r="C15" s="28">
        <v>9</v>
      </c>
      <c r="D15" s="1">
        <v>2.65</v>
      </c>
      <c r="E15" s="1"/>
      <c r="F15" s="1"/>
      <c r="G15" s="46"/>
      <c r="H15" s="39">
        <v>0.9</v>
      </c>
      <c r="I15" s="372"/>
      <c r="J15" s="372"/>
      <c r="L15" s="32"/>
      <c r="M15" s="28">
        <v>9</v>
      </c>
      <c r="N15" s="1"/>
      <c r="O15" s="39">
        <v>0.2</v>
      </c>
      <c r="P15" s="32"/>
    </row>
    <row r="16" spans="2:20">
      <c r="B16" s="372"/>
      <c r="C16" s="28">
        <v>10</v>
      </c>
      <c r="D16" s="1">
        <v>2.59</v>
      </c>
      <c r="E16" s="1"/>
      <c r="F16" s="1"/>
      <c r="G16" s="45"/>
      <c r="H16" s="39">
        <v>1.1000000000000001</v>
      </c>
      <c r="I16" s="372"/>
      <c r="J16" s="372"/>
      <c r="L16" s="32"/>
      <c r="M16" s="28">
        <v>10</v>
      </c>
      <c r="N16" s="1"/>
      <c r="O16" s="39">
        <v>0.3</v>
      </c>
      <c r="P16" s="32"/>
    </row>
    <row r="17" spans="2:16">
      <c r="B17" s="372"/>
      <c r="C17" s="28">
        <v>11</v>
      </c>
      <c r="D17" s="1">
        <v>3.98</v>
      </c>
      <c r="E17" s="1"/>
      <c r="F17" s="1"/>
      <c r="G17" s="45"/>
      <c r="H17" s="39">
        <v>1.3</v>
      </c>
      <c r="I17" s="372"/>
      <c r="J17" s="372"/>
      <c r="L17" s="32"/>
      <c r="M17" s="28">
        <v>11</v>
      </c>
      <c r="N17" s="1"/>
      <c r="O17" s="39">
        <v>0.4</v>
      </c>
      <c r="P17" s="32"/>
    </row>
    <row r="18" spans="2:16" ht="15" thickBot="1">
      <c r="B18" s="372"/>
      <c r="C18" s="28">
        <v>12</v>
      </c>
      <c r="D18" s="18">
        <v>3.15</v>
      </c>
      <c r="E18" s="18"/>
      <c r="F18" s="18"/>
      <c r="G18" s="45"/>
      <c r="H18" s="39">
        <v>1.3</v>
      </c>
      <c r="I18" s="376" t="s">
        <v>8</v>
      </c>
      <c r="J18" s="372"/>
      <c r="L18" s="32"/>
      <c r="M18" s="28">
        <v>12</v>
      </c>
      <c r="N18" s="27"/>
      <c r="O18" s="39">
        <v>0.5</v>
      </c>
      <c r="P18" s="32" t="s">
        <v>8</v>
      </c>
    </row>
    <row r="19" spans="2:16" ht="18.600000000000001" thickBot="1">
      <c r="B19" s="372"/>
      <c r="C19" s="24"/>
      <c r="D19" s="43">
        <f>SUM(D7:D18)</f>
        <v>42.239999999999995</v>
      </c>
      <c r="E19" s="25">
        <f t="shared" ref="E19:F19" si="0">SUM(E7:E18)</f>
        <v>0</v>
      </c>
      <c r="F19" s="25">
        <f t="shared" si="0"/>
        <v>0</v>
      </c>
      <c r="G19" s="25">
        <f>SUM(G7:G18)</f>
        <v>0</v>
      </c>
      <c r="H19" s="26">
        <f>SUM(H7:H18)</f>
        <v>12.4</v>
      </c>
      <c r="I19" s="124">
        <f>SUM(D19:H19)</f>
        <v>54.639999999999993</v>
      </c>
      <c r="J19" s="372"/>
      <c r="L19" s="32"/>
      <c r="M19" s="24"/>
      <c r="N19" s="43">
        <f>SUM(N7:N18)</f>
        <v>26.7</v>
      </c>
      <c r="O19" s="42">
        <f>SUM(O7:O18)</f>
        <v>3.5999999999999996</v>
      </c>
      <c r="P19" s="125">
        <f>N19+O19</f>
        <v>30.299999999999997</v>
      </c>
    </row>
    <row r="20" spans="2:16">
      <c r="B20" s="372"/>
      <c r="C20" s="372"/>
      <c r="D20" s="372"/>
      <c r="E20" s="372"/>
      <c r="F20" s="372"/>
      <c r="G20" s="372"/>
      <c r="H20" s="372"/>
      <c r="I20" s="372"/>
      <c r="J20" s="372"/>
      <c r="L20" s="32"/>
      <c r="M20" s="32"/>
      <c r="N20" s="32"/>
      <c r="O20" s="37"/>
      <c r="P20" s="32"/>
    </row>
    <row r="22" spans="2:16">
      <c r="I22" s="2"/>
    </row>
    <row r="31" spans="2:16" ht="15" thickBot="1"/>
    <row r="32" spans="2:16">
      <c r="H32" s="380"/>
      <c r="I32" s="381" t="str">
        <f>N4</f>
        <v>Dilna1</v>
      </c>
      <c r="J32" s="382" t="str">
        <f>O4</f>
        <v>Vez</v>
      </c>
    </row>
    <row r="33" spans="8:10">
      <c r="H33" s="383" t="s">
        <v>310</v>
      </c>
      <c r="I33" s="379">
        <f>D19</f>
        <v>42.239999999999995</v>
      </c>
      <c r="J33" s="384">
        <f>H19</f>
        <v>12.4</v>
      </c>
    </row>
    <row r="34" spans="8:10" ht="15" thickBot="1">
      <c r="H34" s="385" t="s">
        <v>241</v>
      </c>
      <c r="I34" s="386">
        <f>N19</f>
        <v>26.7</v>
      </c>
      <c r="J34" s="387">
        <f>O19</f>
        <v>3.5999999999999996</v>
      </c>
    </row>
  </sheetData>
  <mergeCells count="2">
    <mergeCell ref="D5:F5"/>
    <mergeCell ref="G5:H5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NAVOD</vt:lpstr>
      <vt:lpstr>CHART</vt:lpstr>
      <vt:lpstr>GRAPHS21</vt:lpstr>
      <vt:lpstr>GRAPHS 22</vt:lpstr>
      <vt:lpstr>GRAPHS 23</vt:lpstr>
      <vt:lpstr>Auta21</vt:lpstr>
      <vt:lpstr>Auta22</vt:lpstr>
      <vt:lpstr>Auta23</vt:lpstr>
      <vt:lpstr>EnergiePlyn21</vt:lpstr>
      <vt:lpstr>EnergiePlyn22</vt:lpstr>
      <vt:lpstr>EnergiePlyn23</vt:lpstr>
      <vt:lpstr>Obaly21</vt:lpstr>
      <vt:lpstr>Obaly22</vt:lpstr>
      <vt:lpstr>Obaly23</vt:lpstr>
      <vt:lpstr>Odpady21</vt:lpstr>
      <vt:lpstr>Odpady22</vt:lpstr>
      <vt:lpstr>Odpady23</vt:lpstr>
      <vt:lpstr>Zeme22</vt:lpstr>
      <vt:lpstr>Zeme23</vt:lpstr>
      <vt:lpstr>Zeme21</vt:lpstr>
      <vt:lpstr>Doprava</vt:lpstr>
      <vt:lpstr>KOEFICIENTY</vt:lpstr>
      <vt:lpstr>Scope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2019-03-26T15:14:02Z</cp:lastPrinted>
  <dcterms:created xsi:type="dcterms:W3CDTF">2010-06-29T09:14:55Z</dcterms:created>
  <dcterms:modified xsi:type="dcterms:W3CDTF">2024-09-28T19:01:05Z</dcterms:modified>
</cp:coreProperties>
</file>